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7992" tabRatio="478" activeTab="1"/>
  </bookViews>
  <sheets>
    <sheet name="Изменения  от 27.01.20г." sheetId="1" r:id="rId1"/>
    <sheet name="Изменения  от 27.01.20г. (2)" sheetId="2" r:id="rId2"/>
  </sheets>
  <definedNames>
    <definedName name="_xlnm.Print_Titles" localSheetId="0">'Изменения  от 27.01.20г.'!$5:$10</definedName>
    <definedName name="_xlnm.Print_Titles" localSheetId="1">'Изменения  от 27.01.20г. (2)'!$5:$10</definedName>
    <definedName name="_xlnm.Print_Area" localSheetId="0">'Изменения  от 27.01.20г.'!$A$1:$M$450</definedName>
    <definedName name="_xlnm.Print_Area" localSheetId="1">'Изменения  от 27.01.20г. (2)'!$A$1:$M$419</definedName>
  </definedNames>
  <calcPr fullCalcOnLoad="1"/>
</workbook>
</file>

<file path=xl/sharedStrings.xml><?xml version="1.0" encoding="utf-8"?>
<sst xmlns="http://schemas.openxmlformats.org/spreadsheetml/2006/main" count="1192" uniqueCount="298">
  <si>
    <t>Объём финансирования (тыс.руб.)</t>
  </si>
  <si>
    <t>Исполнители - ответственные за реализацию мероприятия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</si>
  <si>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</si>
  <si>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</si>
  <si>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</si>
  <si>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</si>
  <si>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</si>
  <si>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</si>
  <si>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</si>
  <si>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</si>
  <si>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</si>
  <si>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</si>
  <si>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</si>
  <si>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</si>
  <si>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</si>
  <si>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</si>
  <si>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</si>
  <si>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</si>
  <si>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</si>
  <si>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</si>
  <si>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</si>
  <si>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</si>
  <si>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5. "Социальная поддержка населения"</t>
  </si>
  <si>
    <t>МБДОУ ЦРР Д/С № 5</t>
  </si>
  <si>
    <t>МБОУСОШ №1</t>
  </si>
  <si>
    <t>МБОУСОШ №2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</si>
  <si>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</si>
  <si>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</si>
  <si>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</si>
  <si>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</si>
  <si>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Управление образования, МБОУ ДОД ЦВР "Лад"</t>
  </si>
  <si>
    <t>ИТОГО по подпрограмме: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</si>
  <si>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</si>
  <si>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</si>
  <si>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</si>
  <si>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</si>
  <si>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</si>
  <si>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</si>
  <si>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</si>
  <si>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</si>
  <si>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</si>
  <si>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</si>
  <si>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Итого по разделу 3:</t>
  </si>
  <si>
    <t>МБОУ ДОД ЦВР "Лад",МБОУ СОШ №1 , МБДОУ ЦРР Д/С №5; Д/с 3; Д/с 6;СОШ №2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</si>
  <si>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</si>
  <si>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</si>
  <si>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</si>
  <si>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</si>
  <si>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</si>
  <si>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</si>
  <si>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</si>
  <si>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ГКМХ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</si>
  <si>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</si>
  <si>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</si>
  <si>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</si>
  <si>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</si>
  <si>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</si>
  <si>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</si>
  <si>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</si>
  <si>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</si>
  <si>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</si>
  <si>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</si>
  <si>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</si>
  <si>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</si>
  <si>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</si>
  <si>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</si>
  <si>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</si>
  <si>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</si>
  <si>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</si>
  <si>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</si>
  <si>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</si>
  <si>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 xml:space="preserve">       4.   Мероприятия муниципальной подпрограммы «Развитие общего, дошкольного и дополнительного образования ЗАТО г.Радужный Владимирской области»</t>
  </si>
  <si>
    <t>Цель: обеспечение доступности качественного дошкольного,  общего  и дополнительного  образования, соответствующего требованиям развития экономики, современным потребностям общества и каждого гражданина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</si>
  <si>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</si>
  <si>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</si>
  <si>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</si>
  <si>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</si>
  <si>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</si>
  <si>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</si>
  <si>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</si>
  <si>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</si>
  <si>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</si>
  <si>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</si>
  <si>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</si>
  <si>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</si>
  <si>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</si>
  <si>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</si>
  <si>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</si>
  <si>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</si>
  <si>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</si>
  <si>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>2.1.2.</t>
  </si>
  <si>
    <t>Дошкольных учреждений  (текущий ремонт)</t>
  </si>
  <si>
    <t>3.1.</t>
  </si>
  <si>
    <t>3.2.</t>
  </si>
  <si>
    <t xml:space="preserve"> Выполнение  функций муниципального задания  </t>
  </si>
  <si>
    <t>4.1.</t>
  </si>
  <si>
    <t>5.1.</t>
  </si>
  <si>
    <t>5.2.</t>
  </si>
  <si>
    <t>5.3.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</si>
  <si>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</si>
  <si>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</si>
  <si>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</si>
  <si>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</si>
  <si>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</si>
  <si>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</si>
  <si>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</si>
  <si>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</si>
  <si>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</si>
  <si>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</si>
  <si>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</si>
  <si>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</si>
  <si>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</si>
  <si>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</si>
  <si>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</si>
  <si>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</si>
  <si>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</si>
  <si>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</si>
  <si>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</si>
  <si>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>Цвр "Лад"</t>
  </si>
  <si>
    <t>2017-2021г.г.</t>
  </si>
  <si>
    <t>1.11.</t>
  </si>
  <si>
    <t>2.3.1.</t>
  </si>
  <si>
    <t>2.3.</t>
  </si>
  <si>
    <t>2.3.2.</t>
  </si>
  <si>
    <t>2.3.3.</t>
  </si>
  <si>
    <t>2.3.4.</t>
  </si>
  <si>
    <t>2.3.5.</t>
  </si>
  <si>
    <t>Приобретение автоматических выключателей в электрощитки (замена)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</si>
  <si>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</si>
  <si>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</si>
  <si>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</si>
  <si>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Замена 30% автоматических выключателей для защиты распределительной сети</t>
  </si>
  <si>
    <t>Обеспечение безопасности дорожного движения</t>
  </si>
  <si>
    <t>ДОУ № 3</t>
  </si>
  <si>
    <t>ДОУ № 5</t>
  </si>
  <si>
    <t>ДОУ № 6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</si>
  <si>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</si>
  <si>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</si>
  <si>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ремонт п/блока</t>
  </si>
  <si>
    <t>Общнобразовательных учреждений (текущий ремонт)</t>
  </si>
  <si>
    <t>Учреждения дополнительного образования (текущий ремонт)</t>
  </si>
  <si>
    <t>Оборудование видеокамерами цветного изображения рекреаций 1-3 этажей</t>
  </si>
  <si>
    <t>Приобретение первичных средств пожаротушения (огнетушители)</t>
  </si>
  <si>
    <t>Задача: Обеспечение условий реализации образовательных программ соответствующих уровней.</t>
  </si>
  <si>
    <t>Нормативные затраты, непосредственно связанные с оказанием муниципальных услуг</t>
  </si>
  <si>
    <t>Цель: Повышение эффективности управления  в системе образования</t>
  </si>
  <si>
    <t xml:space="preserve"> Расходы на обеспечение деятельности (оказания услуг) муниципальных организаци</t>
  </si>
  <si>
    <t>Социальная поддержка детей-инвалидов дошкольного возраста</t>
  </si>
  <si>
    <t>Соцальная поддерка по оплате жилья и коммуных услуг отдельным категориям граждан</t>
  </si>
  <si>
    <t>Компенсация части родительской платы за содержание ребенка в  муниципальных образовательных учреждениях</t>
  </si>
  <si>
    <t>1.2.1.</t>
  </si>
  <si>
    <t>Приобретение методической литературы для работы с детьми с ограниченными возможностями</t>
  </si>
  <si>
    <t>2.1.3.</t>
  </si>
  <si>
    <t>Проектные работы, реконструкция, текущие ремонты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</si>
  <si>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</si>
  <si>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ЦБ, МК упр. образования</t>
  </si>
  <si>
    <t>тек. ремонт</t>
  </si>
  <si>
    <t>СОШ 2</t>
  </si>
  <si>
    <t>СОШ 1</t>
  </si>
  <si>
    <t xml:space="preserve"> ЦВР "Лад" (з/плата)</t>
  </si>
  <si>
    <t>ЦВР "Лад"  (все расзоды)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</si>
  <si>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 реализации, содержанияи воспитания.</t>
  </si>
  <si>
    <t>Укрепление МТБ (приобретение)</t>
  </si>
  <si>
    <t xml:space="preserve">Приложение № 2 к программе "Развитие образования </t>
  </si>
  <si>
    <t>ЗАТО г. Радужный Владимирской области"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</si>
  <si>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</si>
  <si>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</si>
  <si>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ЦВР Лад - приобрет винтовки</t>
  </si>
  <si>
    <t>2.4.</t>
  </si>
  <si>
    <t>2.4.1.</t>
  </si>
  <si>
    <t>2.4.2.</t>
  </si>
  <si>
    <t>2.5.</t>
  </si>
  <si>
    <t xml:space="preserve"> Поощрение лучших учителей-лауреатов областного конкурса</t>
  </si>
  <si>
    <t>1.12.</t>
  </si>
  <si>
    <t>Управление образования, МБОУ ДО ЦВР "Лад"</t>
  </si>
  <si>
    <t>Упр-е образования, методкабинет</t>
  </si>
  <si>
    <t xml:space="preserve">Задачи:
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  4.Повышение компетентности родителей (законных предсставителей) в вопросах воспитания и образования дедей.
</t>
  </si>
  <si>
    <t>Управление образования, СОШ № 1</t>
  </si>
  <si>
    <t>Проведение специальной оценки условий труда</t>
  </si>
  <si>
    <t>Проведдение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</si>
  <si>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МБОУДО ЦВР "Лад"</t>
  </si>
  <si>
    <t>Поставка мегафона  и оповещателя</t>
  </si>
  <si>
    <t>Дополнительное оборудование здания начальных классов системой наружного и внутреннего  видеонаблюдения.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</si>
  <si>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</si>
  <si>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</si>
  <si>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Ремонт системы видеонаблюдения и установка дополнительного речевого модуля системы оповещения</t>
  </si>
  <si>
    <t>управление образования</t>
  </si>
  <si>
    <t>сош №1</t>
  </si>
  <si>
    <t xml:space="preserve">Установка камер видеонаблюдения </t>
  </si>
  <si>
    <t>сош 1</t>
  </si>
  <si>
    <t>100,0 -осн. зд. ; 27,0- ншс</t>
  </si>
  <si>
    <t>сош 2</t>
  </si>
  <si>
    <t>ДОУ 5</t>
  </si>
  <si>
    <t>80,0т.р.</t>
  </si>
  <si>
    <t>150,0 т.р</t>
  </si>
  <si>
    <t>Оснащение охранной сигнализации (в т.ч. установкаэлектронных заиков для разблокировки на двери запасных выходов)</t>
  </si>
  <si>
    <t>360,0т.р.</t>
  </si>
  <si>
    <t>330,0т.р.-зд.нач.кл.</t>
  </si>
  <si>
    <t>400,0т.р.</t>
  </si>
  <si>
    <t>Замена входных дверей главного запасного входа</t>
  </si>
  <si>
    <t>250,0т.р.</t>
  </si>
  <si>
    <t>Синхронизация СКУД и домофонов</t>
  </si>
  <si>
    <t>ДОУ 3</t>
  </si>
  <si>
    <t>30,0т.р.</t>
  </si>
  <si>
    <t>Приобретение аккууляторов для КТС</t>
  </si>
  <si>
    <t>10,0 т.р.</t>
  </si>
  <si>
    <t>100,0 т. р.</t>
  </si>
  <si>
    <t>Оснащение въездов на объект средствами снижения скорости</t>
  </si>
  <si>
    <t>ДОУ 6</t>
  </si>
  <si>
    <t>210,0 т.р.</t>
  </si>
  <si>
    <t>ЦВР  "Лад"</t>
  </si>
  <si>
    <t>200,0 т.р.</t>
  </si>
  <si>
    <t>150,0 т.р.</t>
  </si>
  <si>
    <t>120,0 т.р.</t>
  </si>
  <si>
    <t xml:space="preserve">Обеспечение антитеррористической защищенности, пожрной безопасности общеобразовательных организаций .                            </t>
  </si>
  <si>
    <t>2.5.1.</t>
  </si>
  <si>
    <t>2.5.2</t>
  </si>
  <si>
    <t>2.5.3.</t>
  </si>
  <si>
    <t>2.5.4.</t>
  </si>
  <si>
    <t>2.5.5.</t>
  </si>
  <si>
    <t>2.5.6.</t>
  </si>
  <si>
    <t>Антитеррористическая безопасность.                             Паспорта безопасности</t>
  </si>
  <si>
    <t>1.2.2.</t>
  </si>
  <si>
    <t>Премия отличникам учебы</t>
  </si>
  <si>
    <t xml:space="preserve">Устройство исистемы видеонаблюения спортивно-игровой площадки на межшкольном стадионе </t>
  </si>
  <si>
    <r>
      <t>Видеонаблюдение : оснащение пунктов проведения ЕГЭ.</t>
    </r>
    <r>
      <rPr>
        <sz val="14"/>
        <color indexed="30"/>
        <rFont val="Times New Roman"/>
        <family val="1"/>
      </rPr>
      <t xml:space="preserve"> </t>
    </r>
  </si>
  <si>
    <t>ГКМХ СОШ № 1 -софин-е</t>
  </si>
  <si>
    <t>ЦВР (дол)</t>
  </si>
  <si>
    <t xml:space="preserve"> ЦВР "Лад"(все расходы)</t>
  </si>
  <si>
    <t xml:space="preserve"> ЦВР "Лад" (софин.)</t>
  </si>
  <si>
    <t>ЦВР (софинанс к обл)</t>
  </si>
  <si>
    <t>ЦВР (софинанс к обл.)</t>
  </si>
  <si>
    <t xml:space="preserve"> ЦВР "Лад"(мун зад)</t>
  </si>
  <si>
    <t xml:space="preserve">Национальные проекты </t>
  </si>
  <si>
    <t>1.14.</t>
  </si>
  <si>
    <t>1.15.</t>
  </si>
  <si>
    <t>1.15.1.</t>
  </si>
  <si>
    <t>1.15.2.</t>
  </si>
  <si>
    <t>1.15.3.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</si>
  <si>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</si>
  <si>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- 400; 2022г. - 400</t>
  </si>
  <si>
    <t>Обеспечение обновления МТБ для реализации основных и дополнительныхобщеобразовательных программ цифрового естественнонаучного  и гуманитарного профилей. Создание центра образования цифрового и гуманитарного профилей в 100 % образоввтельных учреждениях</t>
  </si>
  <si>
    <t>Ожидаемые результаты:                                   Показатели оценки эффективности  (качественные, количественные)</t>
  </si>
  <si>
    <t>1.Е Национальные проекты</t>
  </si>
  <si>
    <t>1.Е1 "Федеральныйс проект  "Современная школа" национального проекта "Образование"</t>
  </si>
  <si>
    <t>Цели: Обеспечение качества образования; обеспечение доступности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</si>
  <si>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t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</t>
  </si>
  <si>
    <t>1.Е1.1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</si>
  <si>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</si>
  <si>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</si>
  <si>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 "Федеральныйс проект  "Успех каждого ребенка" национального проекта "Образование"</t>
  </si>
  <si>
    <t>1.Е2.1</t>
  </si>
  <si>
    <t>1.Е3 "Федеральныйс проект  "Поддержка семей, имеющих детей" национального проекта "Образование"</t>
  </si>
  <si>
    <t>1.Е3.1</t>
  </si>
  <si>
    <t xml:space="preserve">сош № 2 </t>
  </si>
  <si>
    <t>1.10</t>
  </si>
  <si>
    <t>1.10.1.</t>
  </si>
  <si>
    <t>1.11.1</t>
  </si>
  <si>
    <t>1.13</t>
  </si>
  <si>
    <t>1.Е4 "Федеральныйс проект  "Цифровая образовательная среда" " национального проекта "Образование"</t>
  </si>
  <si>
    <t>1.Е4.1</t>
  </si>
  <si>
    <t>2021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</si>
  <si>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</si>
  <si>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</si>
  <si>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</si>
  <si>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</si>
  <si>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</si>
  <si>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</si>
  <si>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 xml:space="preserve">сош №1 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</si>
  <si>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</si>
  <si>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</si>
  <si>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</si>
  <si>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</si>
  <si>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</si>
  <si>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</si>
  <si>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</si>
  <si>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</si>
  <si>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1.Е5 "Федеральныйс проект  "Учитель будущего" национального проекта "Образование"</t>
  </si>
  <si>
    <t>1.Е5.1</t>
  </si>
  <si>
    <t>сош № 1     сош № 2</t>
  </si>
  <si>
    <t>Итого по нац проектам</t>
  </si>
  <si>
    <t>Итого</t>
  </si>
  <si>
    <t xml:space="preserve">Всего 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</si>
  <si>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</si>
  <si>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</si>
  <si>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 xml:space="preserve">к 2025 году повысят квалификацию на базе детских технопар-ков "Кванториум", организаций, осуществляющих образова-тельную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2025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2025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2025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2025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2025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2025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</si>
  <si>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</si>
  <si>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</si>
  <si>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r>
      <rPr>
        <sz val="16"/>
        <rFont val="Times New Roman"/>
        <family val="1"/>
      </rPr>
      <t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</t>
    </r>
    <r>
      <rPr>
        <sz val="14"/>
        <rFont val="Times New Roman"/>
        <family val="1"/>
      </rPr>
      <t xml:space="preserve">
</t>
    </r>
  </si>
  <si>
    <r>
      <rPr>
        <b/>
        <sz val="16"/>
        <rFont val="Times New Roman"/>
        <family val="1"/>
      </rPr>
      <t>1.Е1 "Федеральныйс проект  "Современная школа" национального проекта "Образование"</t>
    </r>
    <r>
      <rPr>
        <sz val="16"/>
        <rFont val="Times New Roman"/>
        <family val="1"/>
      </rPr>
      <t xml:space="preserve">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млых годах"</t>
    </r>
  </si>
  <si>
    <r>
      <rPr>
        <b/>
        <sz val="16"/>
        <rFont val="Times New Roman"/>
        <family val="1"/>
      </rPr>
      <t>1.Е2 "Федеральныйс проект  "Успех каждого ребенка" национального проекта "Образование"</t>
    </r>
    <r>
      <rPr>
        <sz val="16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</si>
  <si>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r>
      <rPr>
        <b/>
        <sz val="16"/>
        <rFont val="Times New Roman"/>
        <family val="1"/>
      </rPr>
      <t xml:space="preserve">1.Е3 "Федеральныйс проект  "Поддержка семей, имеющих детей" национального проекта "Образование" </t>
    </r>
    <r>
      <rPr>
        <sz val="16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</si>
  <si>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r>
      <rPr>
        <b/>
        <sz val="14"/>
        <rFont val="Times New Roman"/>
        <family val="1"/>
      </rPr>
      <t>.Е4 "Федеральныйс проект  "Цифровая образовательная среда" " национального проекта "Образование"</t>
    </r>
    <r>
      <rPr>
        <sz val="14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</si>
  <si>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r>
      <rPr>
        <b/>
        <sz val="16"/>
        <rFont val="Times New Roman"/>
        <family val="1"/>
      </rPr>
      <t>1.Е5 "Федеральныйс проект  "Учитель будущего" национального проекта "Образование"</t>
    </r>
    <r>
      <rPr>
        <sz val="16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</si>
  <si>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r>
      <rPr>
        <b/>
        <sz val="14"/>
        <rFont val="Times New Roman"/>
        <family val="1"/>
      </rPr>
      <t>1.Е4 "Федеральныйс проект  "Цифровая образовательная среда" " национального проекта "Образование"</t>
    </r>
    <r>
      <rPr>
        <sz val="14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</si>
  <si>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</si>
  <si>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1.12</t>
  </si>
  <si>
    <t>1.13.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</si>
</sst>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\ _₽_-;\-* #,##0.000\ _₽_-;_-* &quot;-&quot;???\ _₽_-;_-@_-"/>
    <numFmt numFmtId="192" formatCode="_-* #,##0.0000000\ _₽_-;\-* #,##0.0000000\ _₽_-;_-* &quot;-&quot;???????\ _₽_-;_-@_-"/>
    <numFmt numFmtId="193" formatCode="_-* #,##0.0000\ _₽_-;\-* #,##0.0000\ _₽_-;_-* &quot;-&quot;????\ _₽_-;_-@_-"/>
    <numFmt numFmtId="194" formatCode="_-* #,##0.00000\ _₽_-;\-* #,##0.00000\ _₽_-;_-* &quot;-&quot;?????\ _₽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4"/>
      <color indexed="3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vertical="top" wrapText="1"/>
    </xf>
    <xf numFmtId="178" fontId="7" fillId="0" borderId="10" xfId="60" applyNumberFormat="1" applyFont="1" applyFill="1" applyBorder="1" applyAlignment="1">
      <alignment horizontal="center" vertic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178" fontId="52" fillId="0" borderId="10" xfId="6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center" wrapText="1"/>
    </xf>
    <xf numFmtId="178" fontId="7" fillId="0" borderId="10" xfId="60" applyNumberFormat="1" applyFont="1" applyFill="1" applyBorder="1" applyAlignment="1">
      <alignment horizontal="center" vertical="top" wrapText="1"/>
    </xf>
    <xf numFmtId="178" fontId="8" fillId="0" borderId="10" xfId="60" applyNumberFormat="1" applyFont="1" applyFill="1" applyBorder="1" applyAlignment="1">
      <alignment horizontal="center" vertical="top" wrapText="1"/>
    </xf>
    <xf numFmtId="178" fontId="3" fillId="0" borderId="10" xfId="60" applyNumberFormat="1" applyFont="1" applyFill="1" applyBorder="1" applyAlignment="1">
      <alignment horizontal="center" vertical="top" wrapText="1"/>
    </xf>
    <xf numFmtId="178" fontId="9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178" fontId="4" fillId="0" borderId="10" xfId="6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178" fontId="9" fillId="0" borderId="10" xfId="6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78" fontId="7" fillId="0" borderId="10" xfId="6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2" fontId="4" fillId="0" borderId="10" xfId="6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178" fontId="7" fillId="0" borderId="12" xfId="0" applyNumberFormat="1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78" fontId="8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78" fontId="8" fillId="0" borderId="18" xfId="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1" fontId="7" fillId="0" borderId="10" xfId="60" applyFont="1" applyFill="1" applyBorder="1" applyAlignment="1">
      <alignment wrapText="1"/>
    </xf>
    <xf numFmtId="178" fontId="8" fillId="0" borderId="19" xfId="0" applyNumberFormat="1" applyFont="1" applyFill="1" applyBorder="1" applyAlignment="1">
      <alignment horizontal="center" vertical="center" wrapText="1"/>
    </xf>
    <xf numFmtId="2" fontId="10" fillId="0" borderId="10" xfId="6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171" fontId="7" fillId="0" borderId="10" xfId="6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6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" fontId="9" fillId="0" borderId="21" xfId="0" applyNumberFormat="1" applyFont="1" applyFill="1" applyBorder="1" applyAlignment="1">
      <alignment horizontal="center" vertical="top" wrapText="1"/>
    </xf>
    <xf numFmtId="178" fontId="8" fillId="0" borderId="1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178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178" fontId="7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center" vertical="top"/>
    </xf>
    <xf numFmtId="16" fontId="4" fillId="0" borderId="27" xfId="0" applyNumberFormat="1" applyFont="1" applyFill="1" applyBorder="1" applyAlignment="1">
      <alignment horizontal="center" vertical="center" wrapText="1"/>
    </xf>
    <xf numFmtId="16" fontId="4" fillId="0" borderId="28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vertical="top" wrapText="1"/>
    </xf>
    <xf numFmtId="178" fontId="7" fillId="0" borderId="18" xfId="0" applyNumberFormat="1" applyFont="1" applyFill="1" applyBorder="1" applyAlignment="1">
      <alignment horizontal="center" vertical="top" wrapText="1"/>
    </xf>
    <xf numFmtId="178" fontId="4" fillId="0" borderId="18" xfId="0" applyNumberFormat="1" applyFont="1" applyFill="1" applyBorder="1" applyAlignment="1">
      <alignment vertical="top" wrapText="1"/>
    </xf>
    <xf numFmtId="178" fontId="8" fillId="0" borderId="20" xfId="0" applyNumberFormat="1" applyFont="1" applyFill="1" applyBorder="1" applyAlignment="1">
      <alignment horizontal="center" vertical="top" wrapText="1"/>
    </xf>
    <xf numFmtId="178" fontId="7" fillId="0" borderId="19" xfId="0" applyNumberFormat="1" applyFont="1" applyFill="1" applyBorder="1" applyAlignment="1">
      <alignment horizontal="center" vertical="top" wrapText="1"/>
    </xf>
    <xf numFmtId="178" fontId="8" fillId="0" borderId="18" xfId="0" applyNumberFormat="1" applyFont="1" applyFill="1" applyBorder="1" applyAlignment="1">
      <alignment horizontal="center" vertical="center" wrapText="1"/>
    </xf>
    <xf numFmtId="178" fontId="8" fillId="0" borderId="20" xfId="0" applyNumberFormat="1" applyFont="1" applyFill="1" applyBorder="1" applyAlignment="1">
      <alignment horizontal="center" vertical="center" wrapText="1"/>
    </xf>
    <xf numFmtId="178" fontId="8" fillId="0" borderId="29" xfId="0" applyNumberFormat="1" applyFont="1" applyFill="1" applyBorder="1" applyAlignment="1">
      <alignment horizontal="center" vertical="center" wrapText="1"/>
    </xf>
    <xf numFmtId="178" fontId="8" fillId="0" borderId="19" xfId="0" applyNumberFormat="1" applyFont="1" applyFill="1" applyBorder="1" applyAlignment="1">
      <alignment horizontal="center" vertical="top" wrapText="1"/>
    </xf>
    <xf numFmtId="178" fontId="3" fillId="0" borderId="29" xfId="0" applyNumberFormat="1" applyFont="1" applyFill="1" applyBorder="1" applyAlignment="1">
      <alignment vertical="top" wrapText="1"/>
    </xf>
    <xf numFmtId="178" fontId="8" fillId="0" borderId="29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vertical="center" wrapText="1"/>
    </xf>
    <xf numFmtId="2" fontId="3" fillId="0" borderId="11" xfId="60" applyNumberFormat="1" applyFont="1" applyFill="1" applyBorder="1" applyAlignment="1">
      <alignment horizontal="center" vertical="center" wrapText="1"/>
    </xf>
    <xf numFmtId="178" fontId="8" fillId="0" borderId="12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center"/>
    </xf>
    <xf numFmtId="178" fontId="3" fillId="0" borderId="12" xfId="60" applyNumberFormat="1" applyFont="1" applyFill="1" applyBorder="1" applyAlignment="1">
      <alignment horizontal="center" vertical="center" wrapText="1"/>
    </xf>
    <xf numFmtId="178" fontId="7" fillId="0" borderId="18" xfId="60" applyNumberFormat="1" applyFont="1" applyFill="1" applyBorder="1" applyAlignment="1">
      <alignment horizontal="center" vertical="center" wrapText="1"/>
    </xf>
    <xf numFmtId="178" fontId="8" fillId="0" borderId="18" xfId="60" applyNumberFormat="1" applyFont="1" applyFill="1" applyBorder="1" applyAlignment="1">
      <alignment horizontal="center" vertical="center" wrapText="1"/>
    </xf>
    <xf numFmtId="178" fontId="3" fillId="0" borderId="18" xfId="6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178" fontId="8" fillId="0" borderId="19" xfId="60" applyNumberFormat="1" applyFont="1" applyFill="1" applyBorder="1" applyAlignment="1">
      <alignment horizontal="center" vertical="center" wrapText="1"/>
    </xf>
    <xf numFmtId="178" fontId="8" fillId="0" borderId="29" xfId="6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2" fontId="3" fillId="0" borderId="11" xfId="60" applyNumberFormat="1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178" fontId="7" fillId="0" borderId="24" xfId="60" applyNumberFormat="1" applyFont="1" applyFill="1" applyBorder="1" applyAlignment="1">
      <alignment horizontal="center" vertical="center" wrapText="1"/>
    </xf>
    <xf numFmtId="178" fontId="8" fillId="0" borderId="24" xfId="60" applyNumberFormat="1" applyFont="1" applyFill="1" applyBorder="1" applyAlignment="1">
      <alignment horizontal="center" vertical="center" wrapText="1"/>
    </xf>
    <xf numFmtId="178" fontId="3" fillId="0" borderId="24" xfId="6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2" fontId="4" fillId="0" borderId="11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top" wrapText="1"/>
    </xf>
    <xf numFmtId="178" fontId="8" fillId="0" borderId="12" xfId="60" applyNumberFormat="1" applyFont="1" applyFill="1" applyBorder="1" applyAlignment="1">
      <alignment horizontal="center" vertical="top" wrapText="1"/>
    </xf>
    <xf numFmtId="178" fontId="3" fillId="0" borderId="12" xfId="6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78" fontId="7" fillId="0" borderId="18" xfId="60" applyNumberFormat="1" applyFont="1" applyFill="1" applyBorder="1" applyAlignment="1">
      <alignment horizontal="center" wrapText="1"/>
    </xf>
    <xf numFmtId="178" fontId="7" fillId="0" borderId="18" xfId="60" applyNumberFormat="1" applyFont="1" applyFill="1" applyBorder="1" applyAlignment="1">
      <alignment horizontal="center" vertical="top" wrapText="1"/>
    </xf>
    <xf numFmtId="178" fontId="8" fillId="0" borderId="18" xfId="60" applyNumberFormat="1" applyFont="1" applyFill="1" applyBorder="1" applyAlignment="1">
      <alignment horizontal="center" vertical="top" wrapText="1"/>
    </xf>
    <xf numFmtId="178" fontId="4" fillId="0" borderId="18" xfId="6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178" fontId="8" fillId="0" borderId="19" xfId="60" applyNumberFormat="1" applyFont="1" applyFill="1" applyBorder="1" applyAlignment="1">
      <alignment horizontal="center" vertical="top" wrapText="1"/>
    </xf>
    <xf numFmtId="178" fontId="8" fillId="0" borderId="29" xfId="60" applyNumberFormat="1" applyFont="1" applyFill="1" applyBorder="1" applyAlignment="1">
      <alignment horizontal="center" vertical="top" wrapText="1"/>
    </xf>
    <xf numFmtId="178" fontId="7" fillId="0" borderId="12" xfId="6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178" fontId="6" fillId="0" borderId="10" xfId="60" applyNumberFormat="1" applyFont="1" applyFill="1" applyBorder="1" applyAlignment="1">
      <alignment horizontal="center" vertical="top" wrapText="1"/>
    </xf>
    <xf numFmtId="178" fontId="9" fillId="0" borderId="10" xfId="6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center" vertical="top" wrapText="1"/>
    </xf>
    <xf numFmtId="178" fontId="8" fillId="0" borderId="36" xfId="0" applyNumberFormat="1" applyFont="1" applyFill="1" applyBorder="1" applyAlignment="1">
      <alignment horizontal="center" vertical="center" wrapText="1"/>
    </xf>
    <xf numFmtId="178" fontId="8" fillId="0" borderId="37" xfId="0" applyNumberFormat="1" applyFont="1" applyFill="1" applyBorder="1" applyAlignment="1">
      <alignment horizontal="center" vertical="center" wrapText="1"/>
    </xf>
    <xf numFmtId="178" fontId="8" fillId="0" borderId="38" xfId="0" applyNumberFormat="1" applyFont="1" applyFill="1" applyBorder="1" applyAlignment="1">
      <alignment horizontal="center" vertical="center" wrapText="1"/>
    </xf>
    <xf numFmtId="178" fontId="8" fillId="0" borderId="39" xfId="0" applyNumberFormat="1" applyFont="1" applyFill="1" applyBorder="1" applyAlignment="1">
      <alignment horizontal="center" vertical="center" wrapText="1"/>
    </xf>
    <xf numFmtId="2" fontId="11" fillId="0" borderId="36" xfId="60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178" fontId="7" fillId="0" borderId="13" xfId="60" applyNumberFormat="1" applyFont="1" applyFill="1" applyBorder="1" applyAlignment="1">
      <alignment horizontal="center" vertical="center" wrapText="1"/>
    </xf>
    <xf numFmtId="178" fontId="3" fillId="0" borderId="13" xfId="6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7" fillId="0" borderId="16" xfId="60" applyNumberFormat="1" applyFont="1" applyFill="1" applyBorder="1" applyAlignment="1">
      <alignment horizontal="center" vertical="center" wrapText="1"/>
    </xf>
    <xf numFmtId="178" fontId="3" fillId="0" borderId="16" xfId="60" applyNumberFormat="1" applyFont="1" applyFill="1" applyBorder="1" applyAlignment="1">
      <alignment horizontal="center" vertical="center" wrapText="1"/>
    </xf>
    <xf numFmtId="2" fontId="3" fillId="0" borderId="16" xfId="6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3" fillId="0" borderId="18" xfId="6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top" wrapText="1"/>
    </xf>
    <xf numFmtId="190" fontId="7" fillId="0" borderId="10" xfId="6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/>
    </xf>
    <xf numFmtId="190" fontId="7" fillId="0" borderId="12" xfId="60" applyNumberFormat="1" applyFont="1" applyFill="1" applyBorder="1" applyAlignment="1">
      <alignment horizontal="center" vertical="center"/>
    </xf>
    <xf numFmtId="190" fontId="7" fillId="0" borderId="1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left" vertical="top" wrapText="1"/>
    </xf>
    <xf numFmtId="178" fontId="7" fillId="4" borderId="10" xfId="60" applyNumberFormat="1" applyFont="1" applyFill="1" applyBorder="1" applyAlignment="1">
      <alignment horizontal="center" vertical="center" wrapText="1"/>
    </xf>
    <xf numFmtId="178" fontId="8" fillId="4" borderId="10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24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9" fillId="0" borderId="20" xfId="0" applyNumberFormat="1" applyFont="1" applyFill="1" applyBorder="1" applyAlignment="1">
      <alignment horizontal="center" vertical="top"/>
    </xf>
    <xf numFmtId="49" fontId="9" fillId="0" borderId="42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178" fontId="9" fillId="0" borderId="18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9" fontId="9" fillId="0" borderId="10" xfId="6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left"/>
    </xf>
    <xf numFmtId="49" fontId="4" fillId="0" borderId="4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24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left" wrapText="1"/>
    </xf>
    <xf numFmtId="0" fontId="3" fillId="0" borderId="4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49" fontId="4" fillId="0" borderId="44" xfId="0" applyNumberFormat="1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3" fillId="0" borderId="30" xfId="0" applyNumberFormat="1" applyFont="1" applyFill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vertical="top"/>
    </xf>
    <xf numFmtId="0" fontId="6" fillId="0" borderId="48" xfId="0" applyNumberFormat="1" applyFont="1" applyFill="1" applyBorder="1" applyAlignment="1">
      <alignment vertical="top"/>
    </xf>
    <xf numFmtId="0" fontId="6" fillId="0" borderId="52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57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8" fontId="8" fillId="0" borderId="30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top" wrapText="1"/>
    </xf>
    <xf numFmtId="0" fontId="15" fillId="0" borderId="28" xfId="0" applyNumberFormat="1" applyFont="1" applyFill="1" applyBorder="1" applyAlignment="1">
      <alignment horizontal="center" vertical="top" wrapText="1"/>
    </xf>
    <xf numFmtId="0" fontId="15" fillId="0" borderId="43" xfId="0" applyNumberFormat="1" applyFont="1" applyFill="1" applyBorder="1" applyAlignment="1">
      <alignment horizontal="center" vertical="top" wrapText="1"/>
    </xf>
    <xf numFmtId="0" fontId="15" fillId="0" borderId="42" xfId="0" applyNumberFormat="1" applyFont="1" applyFill="1" applyBorder="1" applyAlignment="1">
      <alignment horizontal="center" vertical="top" wrapText="1"/>
    </xf>
    <xf numFmtId="0" fontId="15" fillId="0" borderId="25" xfId="0" applyNumberFormat="1" applyFont="1" applyFill="1" applyBorder="1" applyAlignment="1">
      <alignment horizontal="center" vertical="top" wrapText="1"/>
    </xf>
    <xf numFmtId="0" fontId="15" fillId="0" borderId="3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30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/>
    </xf>
    <xf numFmtId="0" fontId="0" fillId="0" borderId="11" xfId="0" applyFill="1" applyBorder="1" applyAlignment="1">
      <alignment/>
    </xf>
    <xf numFmtId="16" fontId="9" fillId="0" borderId="30" xfId="0" applyNumberFormat="1" applyFont="1" applyFill="1" applyBorder="1" applyAlignment="1">
      <alignment horizontal="left" vertical="center" wrapText="1"/>
    </xf>
    <xf numFmtId="16" fontId="6" fillId="0" borderId="27" xfId="0" applyNumberFormat="1" applyFont="1" applyFill="1" applyBorder="1" applyAlignment="1">
      <alignment horizontal="left" vertical="top" wrapText="1"/>
    </xf>
    <xf numFmtId="16" fontId="6" fillId="0" borderId="28" xfId="0" applyNumberFormat="1" applyFont="1" applyFill="1" applyBorder="1" applyAlignment="1">
      <alignment horizontal="left" vertical="top" wrapText="1"/>
    </xf>
    <xf numFmtId="16" fontId="6" fillId="0" borderId="43" xfId="0" applyNumberFormat="1" applyFont="1" applyFill="1" applyBorder="1" applyAlignment="1">
      <alignment horizontal="left" vertical="top" wrapText="1"/>
    </xf>
    <xf numFmtId="16" fontId="6" fillId="0" borderId="42" xfId="0" applyNumberFormat="1" applyFont="1" applyFill="1" applyBorder="1" applyAlignment="1">
      <alignment horizontal="left" vertical="top" wrapText="1"/>
    </xf>
    <xf numFmtId="16" fontId="6" fillId="0" borderId="25" xfId="0" applyNumberFormat="1" applyFont="1" applyFill="1" applyBorder="1" applyAlignment="1">
      <alignment horizontal="left" vertical="top" wrapText="1"/>
    </xf>
    <xf numFmtId="16" fontId="6" fillId="0" borderId="33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top"/>
    </xf>
    <xf numFmtId="178" fontId="7" fillId="0" borderId="10" xfId="0" applyNumberFormat="1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16" fontId="5" fillId="0" borderId="12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6" fillId="0" borderId="63" xfId="0" applyFont="1" applyFill="1" applyBorder="1" applyAlignment="1">
      <alignment horizontal="center" vertical="top"/>
    </xf>
    <xf numFmtId="0" fontId="6" fillId="0" borderId="64" xfId="0" applyFont="1" applyFill="1" applyBorder="1" applyAlignment="1">
      <alignment horizontal="center" vertical="top"/>
    </xf>
    <xf numFmtId="0" fontId="6" fillId="0" borderId="65" xfId="0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16" fontId="3" fillId="0" borderId="10" xfId="0" applyNumberFormat="1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wrapText="1"/>
    </xf>
    <xf numFmtId="0" fontId="6" fillId="0" borderId="43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wrapText="1"/>
    </xf>
    <xf numFmtId="0" fontId="6" fillId="0" borderId="25" xfId="0" applyFont="1" applyFill="1" applyBorder="1" applyAlignment="1">
      <alignment horizontal="center" vertical="top" wrapText="1"/>
    </xf>
    <xf numFmtId="0" fontId="0" fillId="0" borderId="33" xfId="0" applyFill="1" applyBorder="1" applyAlignment="1">
      <alignment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top"/>
    </xf>
    <xf numFmtId="49" fontId="6" fillId="0" borderId="48" xfId="0" applyNumberFormat="1" applyFont="1" applyFill="1" applyBorder="1" applyAlignment="1">
      <alignment horizontal="center" vertical="top"/>
    </xf>
    <xf numFmtId="49" fontId="6" fillId="0" borderId="52" xfId="0" applyNumberFormat="1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/>
    </xf>
    <xf numFmtId="0" fontId="0" fillId="0" borderId="4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79" fontId="3" fillId="0" borderId="40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top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4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11" xfId="0" applyFill="1" applyBorder="1" applyAlignment="1">
      <alignment horizontal="left" vertical="top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6" fontId="3" fillId="0" borderId="27" xfId="0" applyNumberFormat="1" applyFont="1" applyFill="1" applyBorder="1" applyAlignment="1">
      <alignment horizontal="center" vertical="top" wrapText="1"/>
    </xf>
    <xf numFmtId="16" fontId="3" fillId="0" borderId="28" xfId="0" applyNumberFormat="1" applyFont="1" applyFill="1" applyBorder="1" applyAlignment="1">
      <alignment horizontal="center" vertical="top" wrapText="1"/>
    </xf>
    <xf numFmtId="16" fontId="3" fillId="0" borderId="43" xfId="0" applyNumberFormat="1" applyFont="1" applyFill="1" applyBorder="1" applyAlignment="1">
      <alignment horizontal="center" vertical="top" wrapText="1"/>
    </xf>
    <xf numFmtId="16" fontId="3" fillId="0" borderId="42" xfId="0" applyNumberFormat="1" applyFont="1" applyFill="1" applyBorder="1" applyAlignment="1">
      <alignment horizontal="center" vertical="top" wrapText="1"/>
    </xf>
    <xf numFmtId="16" fontId="3" fillId="0" borderId="25" xfId="0" applyNumberFormat="1" applyFont="1" applyFill="1" applyBorder="1" applyAlignment="1">
      <alignment horizontal="center" vertical="top" wrapText="1"/>
    </xf>
    <xf numFmtId="16" fontId="3" fillId="0" borderId="33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top" wrapText="1"/>
    </xf>
    <xf numFmtId="0" fontId="9" fillId="6" borderId="46" xfId="0" applyFont="1" applyFill="1" applyBorder="1" applyAlignment="1">
      <alignment horizontal="center" vertical="top" wrapText="1"/>
    </xf>
    <xf numFmtId="0" fontId="9" fillId="6" borderId="28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left" vertical="top" wrapText="1"/>
    </xf>
    <xf numFmtId="0" fontId="6" fillId="0" borderId="4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8"/>
  <sheetViews>
    <sheetView zoomScale="50" zoomScaleNormal="50" zoomScaleSheetLayoutView="50" zoomScalePageLayoutView="50" workbookViewId="0" topLeftCell="A10">
      <selection activeCell="E58" sqref="E58"/>
    </sheetView>
  </sheetViews>
  <sheetFormatPr defaultColWidth="9.125" defaultRowHeight="12.75"/>
  <cols>
    <col min="1" max="1" width="8.75390625" style="55" customWidth="1"/>
    <col min="2" max="2" width="38.50390625" style="77" customWidth="1"/>
    <col min="3" max="3" width="15.375" style="77" customWidth="1"/>
    <col min="4" max="4" width="16.00390625" style="77" customWidth="1"/>
    <col min="5" max="5" width="24.625" style="77" customWidth="1"/>
    <col min="6" max="6" width="23.625" style="77" customWidth="1"/>
    <col min="7" max="7" width="26.50390625" style="77" customWidth="1"/>
    <col min="8" max="8" width="21.125" style="77" customWidth="1"/>
    <col min="9" max="9" width="24.50390625" style="77" customWidth="1"/>
    <col min="10" max="10" width="25.50390625" style="77" customWidth="1"/>
    <col min="11" max="11" width="16.50390625" style="77" customWidth="1"/>
    <col min="12" max="12" width="32.00390625" style="85" customWidth="1"/>
    <col min="13" max="13" width="57.25390625" style="84" customWidth="1"/>
    <col min="14" max="14" width="30.875" style="51" customWidth="1"/>
    <col min="15" max="16384" width="9.125" style="51" customWidth="1"/>
  </cols>
  <sheetData>
    <row r="1" spans="11:13" ht="33.75" customHeight="1">
      <c r="K1" s="375" t="s">
        <v>163</v>
      </c>
      <c r="L1" s="375"/>
      <c r="M1" s="375"/>
    </row>
    <row r="2" spans="11:13" ht="30.75" customHeight="1">
      <c r="K2" s="375" t="s">
        <v>164</v>
      </c>
      <c r="L2" s="375"/>
      <c r="M2" s="375"/>
    </row>
    <row r="3" spans="1:13" s="77" customFormat="1" ht="19.5" customHeight="1">
      <c r="A3" s="83"/>
      <c r="B3" s="409" t="s">
        <v>71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84"/>
    </row>
    <row r="4" spans="1:13" s="77" customFormat="1" ht="18">
      <c r="A4" s="83"/>
      <c r="J4" s="77" t="s">
        <v>16</v>
      </c>
      <c r="L4" s="85"/>
      <c r="M4" s="84"/>
    </row>
    <row r="5" spans="1:13" s="77" customFormat="1" ht="28.5" customHeight="1">
      <c r="A5" s="487"/>
      <c r="B5" s="410" t="s">
        <v>8</v>
      </c>
      <c r="C5" s="410"/>
      <c r="D5" s="410" t="s">
        <v>9</v>
      </c>
      <c r="E5" s="410" t="s">
        <v>0</v>
      </c>
      <c r="F5" s="410" t="s">
        <v>13</v>
      </c>
      <c r="G5" s="410"/>
      <c r="H5" s="410"/>
      <c r="I5" s="410"/>
      <c r="J5" s="410"/>
      <c r="K5" s="410" t="s">
        <v>14</v>
      </c>
      <c r="L5" s="410" t="s">
        <v>1</v>
      </c>
      <c r="M5" s="477" t="s">
        <v>242</v>
      </c>
    </row>
    <row r="6" spans="1:13" s="77" customFormat="1" ht="28.5" customHeight="1">
      <c r="A6" s="487"/>
      <c r="B6" s="410"/>
      <c r="C6" s="410"/>
      <c r="D6" s="410"/>
      <c r="E6" s="410"/>
      <c r="F6" s="410" t="s">
        <v>11</v>
      </c>
      <c r="G6" s="410" t="s">
        <v>100</v>
      </c>
      <c r="H6" s="410"/>
      <c r="I6" s="410"/>
      <c r="J6" s="410"/>
      <c r="K6" s="410"/>
      <c r="L6" s="410"/>
      <c r="M6" s="478"/>
    </row>
    <row r="7" spans="1:13" s="77" customFormat="1" ht="28.5" customHeight="1">
      <c r="A7" s="487"/>
      <c r="B7" s="410"/>
      <c r="C7" s="410"/>
      <c r="D7" s="410"/>
      <c r="E7" s="410"/>
      <c r="F7" s="410"/>
      <c r="G7" s="410" t="s">
        <v>103</v>
      </c>
      <c r="H7" s="410"/>
      <c r="I7" s="410"/>
      <c r="J7" s="410" t="s">
        <v>99</v>
      </c>
      <c r="K7" s="410"/>
      <c r="L7" s="410"/>
      <c r="M7" s="478"/>
    </row>
    <row r="8" spans="1:13" s="77" customFormat="1" ht="28.5" customHeight="1">
      <c r="A8" s="487"/>
      <c r="B8" s="410"/>
      <c r="C8" s="410"/>
      <c r="D8" s="410"/>
      <c r="E8" s="410"/>
      <c r="F8" s="410"/>
      <c r="G8" s="410" t="s">
        <v>101</v>
      </c>
      <c r="H8" s="410" t="s">
        <v>102</v>
      </c>
      <c r="I8" s="410"/>
      <c r="J8" s="410"/>
      <c r="K8" s="410"/>
      <c r="L8" s="410"/>
      <c r="M8" s="478"/>
    </row>
    <row r="9" spans="1:13" s="77" customFormat="1" ht="73.5" customHeight="1">
      <c r="A9" s="487"/>
      <c r="B9" s="410"/>
      <c r="C9" s="410"/>
      <c r="D9" s="410"/>
      <c r="E9" s="410"/>
      <c r="F9" s="410"/>
      <c r="G9" s="410"/>
      <c r="H9" s="4" t="s">
        <v>104</v>
      </c>
      <c r="I9" s="4" t="s">
        <v>105</v>
      </c>
      <c r="J9" s="410"/>
      <c r="K9" s="410"/>
      <c r="L9" s="410"/>
      <c r="M9" s="479"/>
    </row>
    <row r="10" spans="1:13" s="87" customFormat="1" ht="21">
      <c r="A10" s="86">
        <v>1</v>
      </c>
      <c r="B10" s="379">
        <v>2</v>
      </c>
      <c r="C10" s="379"/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39">
        <v>12</v>
      </c>
    </row>
    <row r="11" spans="1:13" s="272" customFormat="1" ht="24" customHeight="1">
      <c r="A11" s="525" t="s">
        <v>29</v>
      </c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7"/>
    </row>
    <row r="12" spans="1:13" s="87" customFormat="1" ht="21">
      <c r="A12" s="324" t="s">
        <v>243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6"/>
    </row>
    <row r="13" spans="1:13" s="87" customFormat="1" ht="21">
      <c r="A13" s="298" t="s">
        <v>244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300"/>
    </row>
    <row r="14" spans="1:13" s="85" customFormat="1" ht="44.25" customHeight="1">
      <c r="A14" s="327" t="s">
        <v>287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9"/>
    </row>
    <row r="15" spans="1:13" s="87" customFormat="1" ht="120" customHeight="1">
      <c r="A15" s="330" t="s">
        <v>288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2"/>
    </row>
    <row r="16" spans="1:13" s="87" customFormat="1" ht="21" thickBot="1">
      <c r="A16" s="279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1"/>
    </row>
    <row r="17" spans="1:13" s="87" customFormat="1" ht="70.5" customHeight="1" thickBot="1">
      <c r="A17" s="282" t="s">
        <v>247</v>
      </c>
      <c r="B17" s="284" t="s">
        <v>289</v>
      </c>
      <c r="C17" s="204" t="s">
        <v>101</v>
      </c>
      <c r="D17" s="204">
        <v>2020</v>
      </c>
      <c r="E17" s="187">
        <f aca="true" t="shared" si="0" ref="E17:J17">E19+E20+E23+E24</f>
        <v>1128.3</v>
      </c>
      <c r="F17" s="187">
        <f t="shared" si="0"/>
        <v>0</v>
      </c>
      <c r="G17" s="187">
        <f t="shared" si="0"/>
        <v>1117</v>
      </c>
      <c r="H17" s="187">
        <f t="shared" si="0"/>
        <v>1117</v>
      </c>
      <c r="I17" s="187">
        <f t="shared" si="0"/>
        <v>0</v>
      </c>
      <c r="J17" s="187">
        <f t="shared" si="0"/>
        <v>11.299999999999997</v>
      </c>
      <c r="K17" s="187">
        <f>K19+K20+K23+K24</f>
        <v>0</v>
      </c>
      <c r="L17" s="204" t="s">
        <v>46</v>
      </c>
      <c r="M17" s="276" t="s">
        <v>285</v>
      </c>
    </row>
    <row r="18" spans="1:13" s="87" customFormat="1" ht="70.5" customHeight="1" thickBot="1">
      <c r="A18" s="317"/>
      <c r="B18" s="528"/>
      <c r="C18" s="204" t="s">
        <v>282</v>
      </c>
      <c r="D18" s="204">
        <v>2021</v>
      </c>
      <c r="E18" s="187">
        <f aca="true" t="shared" si="1" ref="E18:J18">E21+E22</f>
        <v>1138.3000000000002</v>
      </c>
      <c r="F18" s="187">
        <f t="shared" si="1"/>
        <v>0</v>
      </c>
      <c r="G18" s="187">
        <f t="shared" si="1"/>
        <v>1126.9</v>
      </c>
      <c r="H18" s="187">
        <f t="shared" si="1"/>
        <v>1126.9</v>
      </c>
      <c r="I18" s="187">
        <f t="shared" si="1"/>
        <v>0</v>
      </c>
      <c r="J18" s="187">
        <f t="shared" si="1"/>
        <v>11.4</v>
      </c>
      <c r="K18" s="187">
        <f>K21+K22</f>
        <v>0</v>
      </c>
      <c r="L18" s="204"/>
      <c r="M18" s="277"/>
    </row>
    <row r="19" spans="1:13" s="87" customFormat="1" ht="57" customHeight="1">
      <c r="A19" s="317"/>
      <c r="B19" s="528"/>
      <c r="C19" s="181" t="s">
        <v>46</v>
      </c>
      <c r="D19" s="181">
        <v>2020</v>
      </c>
      <c r="E19" s="186">
        <f aca="true" t="shared" si="2" ref="E19:E24">F19+G19+J19+K19</f>
        <v>0</v>
      </c>
      <c r="F19" s="187"/>
      <c r="G19" s="186">
        <f aca="true" t="shared" si="3" ref="G19:G24">H19+I19</f>
        <v>0</v>
      </c>
      <c r="H19" s="186">
        <f>557-557</f>
        <v>0</v>
      </c>
      <c r="I19" s="186">
        <v>0</v>
      </c>
      <c r="J19" s="186">
        <f>83.33-83.33</f>
        <v>0</v>
      </c>
      <c r="K19" s="256">
        <v>0</v>
      </c>
      <c r="L19" s="181" t="s">
        <v>46</v>
      </c>
      <c r="M19" s="277"/>
    </row>
    <row r="20" spans="1:13" s="87" customFormat="1" ht="52.5" customHeight="1" thickBot="1">
      <c r="A20" s="317"/>
      <c r="B20" s="528"/>
      <c r="C20" s="183" t="s">
        <v>47</v>
      </c>
      <c r="D20" s="183">
        <v>2020</v>
      </c>
      <c r="E20" s="27">
        <f t="shared" si="2"/>
        <v>1128.3</v>
      </c>
      <c r="F20" s="25"/>
      <c r="G20" s="27">
        <f t="shared" si="3"/>
        <v>1117</v>
      </c>
      <c r="H20" s="27">
        <f>560+557</f>
        <v>1117</v>
      </c>
      <c r="I20" s="27">
        <v>0</v>
      </c>
      <c r="J20" s="27">
        <f>83.678-72.378</f>
        <v>11.299999999999997</v>
      </c>
      <c r="K20" s="34">
        <v>0</v>
      </c>
      <c r="L20" s="183" t="s">
        <v>47</v>
      </c>
      <c r="M20" s="277"/>
    </row>
    <row r="21" spans="1:13" s="87" customFormat="1" ht="60" customHeight="1">
      <c r="A21" s="317"/>
      <c r="B21" s="528"/>
      <c r="C21" s="181" t="s">
        <v>46</v>
      </c>
      <c r="D21" s="183">
        <v>2021</v>
      </c>
      <c r="E21" s="27">
        <f t="shared" si="2"/>
        <v>1138.3000000000002</v>
      </c>
      <c r="F21" s="25"/>
      <c r="G21" s="27">
        <f t="shared" si="3"/>
        <v>1126.9</v>
      </c>
      <c r="H21" s="27">
        <f>561.9+565</f>
        <v>1126.9</v>
      </c>
      <c r="I21" s="27">
        <v>0</v>
      </c>
      <c r="J21" s="27">
        <v>11.4</v>
      </c>
      <c r="K21" s="34">
        <v>0</v>
      </c>
      <c r="L21" s="275"/>
      <c r="M21" s="277"/>
    </row>
    <row r="22" spans="1:13" s="87" customFormat="1" ht="48.75" customHeight="1" thickBot="1">
      <c r="A22" s="283"/>
      <c r="B22" s="285"/>
      <c r="C22" s="183" t="s">
        <v>47</v>
      </c>
      <c r="D22" s="183">
        <v>2021</v>
      </c>
      <c r="E22" s="27">
        <f t="shared" si="2"/>
        <v>0</v>
      </c>
      <c r="F22" s="25"/>
      <c r="G22" s="27">
        <f t="shared" si="3"/>
        <v>0</v>
      </c>
      <c r="H22" s="27">
        <f>565-565</f>
        <v>0</v>
      </c>
      <c r="I22" s="27">
        <v>0</v>
      </c>
      <c r="J22" s="27">
        <v>0</v>
      </c>
      <c r="K22" s="34">
        <v>0</v>
      </c>
      <c r="L22" s="275"/>
      <c r="M22" s="277"/>
    </row>
    <row r="23" spans="1:13" s="87" customFormat="1" ht="69" customHeight="1">
      <c r="A23" s="282" t="s">
        <v>248</v>
      </c>
      <c r="B23" s="333" t="s">
        <v>249</v>
      </c>
      <c r="C23" s="181" t="s">
        <v>46</v>
      </c>
      <c r="D23" s="1">
        <v>2020</v>
      </c>
      <c r="E23" s="27">
        <f t="shared" si="2"/>
        <v>0</v>
      </c>
      <c r="F23" s="8"/>
      <c r="G23" s="27">
        <f t="shared" si="3"/>
        <v>0</v>
      </c>
      <c r="H23" s="10">
        <v>0</v>
      </c>
      <c r="I23" s="10">
        <v>0</v>
      </c>
      <c r="J23" s="10">
        <v>0</v>
      </c>
      <c r="K23" s="10">
        <v>0</v>
      </c>
      <c r="L23" s="181" t="s">
        <v>46</v>
      </c>
      <c r="M23" s="277"/>
    </row>
    <row r="24" spans="1:13" s="87" customFormat="1" ht="81" customHeight="1">
      <c r="A24" s="283"/>
      <c r="B24" s="316"/>
      <c r="C24" s="183" t="s">
        <v>47</v>
      </c>
      <c r="D24" s="1">
        <v>2020</v>
      </c>
      <c r="E24" s="27">
        <f t="shared" si="2"/>
        <v>0</v>
      </c>
      <c r="F24" s="8"/>
      <c r="G24" s="27">
        <f t="shared" si="3"/>
        <v>0</v>
      </c>
      <c r="H24" s="10">
        <v>0</v>
      </c>
      <c r="I24" s="10">
        <v>0</v>
      </c>
      <c r="J24" s="10">
        <v>0</v>
      </c>
      <c r="K24" s="10">
        <v>0</v>
      </c>
      <c r="L24" s="183" t="s">
        <v>47</v>
      </c>
      <c r="M24" s="278"/>
    </row>
    <row r="25" spans="1:13" s="87" customFormat="1" ht="21">
      <c r="A25" s="298" t="s">
        <v>250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300"/>
    </row>
    <row r="26" spans="1:13" s="87" customFormat="1" ht="24" customHeight="1">
      <c r="A26" s="301" t="s">
        <v>245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3"/>
    </row>
    <row r="27" spans="1:13" s="87" customFormat="1" ht="71.25" customHeight="1">
      <c r="A27" s="309" t="s">
        <v>246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1"/>
    </row>
    <row r="28" spans="1:13" s="87" customFormat="1" ht="21" thickBot="1">
      <c r="A28" s="312" t="s">
        <v>2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4"/>
    </row>
    <row r="29" spans="1:13" s="87" customFormat="1" ht="22.5">
      <c r="A29" s="317" t="s">
        <v>251</v>
      </c>
      <c r="B29" s="315" t="s">
        <v>290</v>
      </c>
      <c r="C29" s="257"/>
      <c r="D29" s="204">
        <v>2021</v>
      </c>
      <c r="E29" s="139">
        <f aca="true" t="shared" si="4" ref="E29:K29">E30</f>
        <v>1149.4</v>
      </c>
      <c r="F29" s="139">
        <f t="shared" si="4"/>
        <v>0</v>
      </c>
      <c r="G29" s="139">
        <f t="shared" si="4"/>
        <v>1000</v>
      </c>
      <c r="H29" s="139">
        <f t="shared" si="4"/>
        <v>1000</v>
      </c>
      <c r="I29" s="139">
        <f t="shared" si="4"/>
        <v>0</v>
      </c>
      <c r="J29" s="139">
        <f t="shared" si="4"/>
        <v>149.4</v>
      </c>
      <c r="K29" s="139">
        <f t="shared" si="4"/>
        <v>0</v>
      </c>
      <c r="L29" s="81"/>
      <c r="M29" s="318" t="s">
        <v>286</v>
      </c>
    </row>
    <row r="30" spans="1:13" s="87" customFormat="1" ht="65.25" customHeight="1">
      <c r="A30" s="317"/>
      <c r="B30" s="315"/>
      <c r="C30" s="183" t="s">
        <v>47</v>
      </c>
      <c r="D30" s="4">
        <v>2021</v>
      </c>
      <c r="E30" s="27">
        <f>F30+G30+J30+K30</f>
        <v>1149.4</v>
      </c>
      <c r="F30" s="25"/>
      <c r="G30" s="27">
        <f>H30+I30</f>
        <v>1000</v>
      </c>
      <c r="H30" s="27">
        <v>1000</v>
      </c>
      <c r="I30" s="27"/>
      <c r="J30" s="27">
        <v>149.4</v>
      </c>
      <c r="K30" s="36"/>
      <c r="L30" s="183" t="s">
        <v>47</v>
      </c>
      <c r="M30" s="319"/>
    </row>
    <row r="31" spans="1:13" s="87" customFormat="1" ht="22.5">
      <c r="A31" s="317"/>
      <c r="B31" s="315"/>
      <c r="C31" s="258"/>
      <c r="D31" s="109">
        <v>2022</v>
      </c>
      <c r="E31" s="25">
        <f aca="true" t="shared" si="5" ref="E31:K31">E32</f>
        <v>1092</v>
      </c>
      <c r="F31" s="25">
        <f t="shared" si="5"/>
        <v>0</v>
      </c>
      <c r="G31" s="25">
        <f t="shared" si="5"/>
        <v>950</v>
      </c>
      <c r="H31" s="25">
        <f t="shared" si="5"/>
        <v>950</v>
      </c>
      <c r="I31" s="25">
        <f t="shared" si="5"/>
        <v>0</v>
      </c>
      <c r="J31" s="25">
        <f t="shared" si="5"/>
        <v>142</v>
      </c>
      <c r="K31" s="25">
        <f t="shared" si="5"/>
        <v>0</v>
      </c>
      <c r="L31" s="258"/>
      <c r="M31" s="319"/>
    </row>
    <row r="32" spans="1:13" s="87" customFormat="1" ht="64.5" customHeight="1" thickBot="1">
      <c r="A32" s="283"/>
      <c r="B32" s="316"/>
      <c r="C32" s="205" t="s">
        <v>46</v>
      </c>
      <c r="D32" s="4">
        <v>2022</v>
      </c>
      <c r="E32" s="206">
        <f>F32+G32+J32+K32</f>
        <v>1092</v>
      </c>
      <c r="F32" s="190"/>
      <c r="G32" s="206">
        <f>H32+I32</f>
        <v>950</v>
      </c>
      <c r="H32" s="206">
        <v>950</v>
      </c>
      <c r="I32" s="206"/>
      <c r="J32" s="206">
        <v>142</v>
      </c>
      <c r="K32" s="191"/>
      <c r="L32" s="205" t="s">
        <v>46</v>
      </c>
      <c r="M32" s="320"/>
    </row>
    <row r="33" spans="1:13" s="87" customFormat="1" ht="21">
      <c r="A33" s="298" t="s">
        <v>252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300"/>
    </row>
    <row r="34" spans="1:13" s="87" customFormat="1" ht="21">
      <c r="A34" s="301" t="s">
        <v>245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3"/>
    </row>
    <row r="35" spans="1:13" s="87" customFormat="1" ht="77.25" customHeight="1">
      <c r="A35" s="309" t="s">
        <v>246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1"/>
    </row>
    <row r="36" spans="1:13" s="87" customFormat="1" ht="21">
      <c r="A36" s="279" t="s">
        <v>2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1"/>
    </row>
    <row r="37" spans="1:13" s="87" customFormat="1" ht="107.25" customHeight="1">
      <c r="A37" s="282" t="s">
        <v>253</v>
      </c>
      <c r="B37" s="284" t="s">
        <v>291</v>
      </c>
      <c r="C37" s="1" t="s">
        <v>46</v>
      </c>
      <c r="D37" s="4">
        <v>2021</v>
      </c>
      <c r="E37" s="47">
        <f>F37+G37+J37+K37</f>
        <v>0</v>
      </c>
      <c r="F37" s="47">
        <v>0</v>
      </c>
      <c r="G37" s="47">
        <f>H37+I37</f>
        <v>0</v>
      </c>
      <c r="H37" s="47">
        <v>0</v>
      </c>
      <c r="I37" s="47">
        <v>0</v>
      </c>
      <c r="J37" s="47">
        <v>0</v>
      </c>
      <c r="K37" s="47">
        <v>0</v>
      </c>
      <c r="L37" s="1" t="s">
        <v>46</v>
      </c>
      <c r="M37" s="307" t="s">
        <v>284</v>
      </c>
    </row>
    <row r="38" spans="1:13" s="87" customFormat="1" ht="102" customHeight="1">
      <c r="A38" s="283"/>
      <c r="B38" s="285"/>
      <c r="C38" s="1" t="s">
        <v>254</v>
      </c>
      <c r="D38" s="4">
        <v>2022</v>
      </c>
      <c r="E38" s="47">
        <f>F38+G38+J38+K38</f>
        <v>0</v>
      </c>
      <c r="F38" s="47">
        <v>0</v>
      </c>
      <c r="G38" s="47">
        <f>H38+I38</f>
        <v>0</v>
      </c>
      <c r="H38" s="47">
        <v>0</v>
      </c>
      <c r="I38" s="47">
        <v>0</v>
      </c>
      <c r="J38" s="47">
        <v>0</v>
      </c>
      <c r="K38" s="47">
        <v>0</v>
      </c>
      <c r="L38" s="1" t="s">
        <v>254</v>
      </c>
      <c r="M38" s="308"/>
    </row>
    <row r="39" spans="1:13" s="87" customFormat="1" ht="21">
      <c r="A39" s="298" t="s">
        <v>259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300"/>
    </row>
    <row r="40" spans="1:13" s="87" customFormat="1" ht="21">
      <c r="A40" s="301" t="s">
        <v>245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3"/>
    </row>
    <row r="41" spans="1:13" s="87" customFormat="1" ht="69.75" customHeight="1">
      <c r="A41" s="309" t="s">
        <v>246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1"/>
    </row>
    <row r="42" spans="1:13" s="87" customFormat="1" ht="21">
      <c r="A42" s="488" t="s">
        <v>2</v>
      </c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90"/>
    </row>
    <row r="43" spans="1:13" s="87" customFormat="1" ht="61.5" customHeight="1">
      <c r="A43" s="522" t="s">
        <v>260</v>
      </c>
      <c r="B43" s="506" t="s">
        <v>292</v>
      </c>
      <c r="C43" s="265"/>
      <c r="D43" s="266" t="s">
        <v>261</v>
      </c>
      <c r="E43" s="267">
        <f aca="true" t="shared" si="6" ref="E43:J43">E44+E45+E46+E47+E48+E49+E50+E51+E52</f>
        <v>4554.7</v>
      </c>
      <c r="F43" s="267">
        <f t="shared" si="6"/>
        <v>0</v>
      </c>
      <c r="G43" s="267">
        <f t="shared" si="6"/>
        <v>4509.2</v>
      </c>
      <c r="H43" s="267">
        <f t="shared" si="6"/>
        <v>4509.2</v>
      </c>
      <c r="I43" s="267">
        <f t="shared" si="6"/>
        <v>0</v>
      </c>
      <c r="J43" s="267">
        <f t="shared" si="6"/>
        <v>45.5</v>
      </c>
      <c r="K43" s="267">
        <f>K44+K45+K46+K47+K48+K49+K50+K51+K52</f>
        <v>0</v>
      </c>
      <c r="L43" s="261"/>
      <c r="M43" s="304" t="s">
        <v>283</v>
      </c>
    </row>
    <row r="44" spans="1:13" s="87" customFormat="1" ht="66" customHeight="1">
      <c r="A44" s="523"/>
      <c r="B44" s="507"/>
      <c r="C44" s="264" t="s">
        <v>46</v>
      </c>
      <c r="D44" s="264" t="s">
        <v>261</v>
      </c>
      <c r="E44" s="10">
        <f aca="true" t="shared" si="7" ref="E44:E52">F44+G44+J44+K44</f>
        <v>4554.7</v>
      </c>
      <c r="F44" s="268"/>
      <c r="G44" s="10">
        <f aca="true" t="shared" si="8" ref="G44:G52">H44+I44</f>
        <v>4509.2</v>
      </c>
      <c r="H44" s="10">
        <v>4509.2</v>
      </c>
      <c r="I44" s="10">
        <v>0</v>
      </c>
      <c r="J44" s="10">
        <v>45.5</v>
      </c>
      <c r="K44" s="10">
        <v>0</v>
      </c>
      <c r="L44" s="1" t="s">
        <v>46</v>
      </c>
      <c r="M44" s="305"/>
    </row>
    <row r="45" spans="1:13" s="87" customFormat="1" ht="69.75" customHeight="1">
      <c r="A45" s="524"/>
      <c r="B45" s="508"/>
      <c r="C45" s="264" t="s">
        <v>47</v>
      </c>
      <c r="D45" s="264" t="s">
        <v>261</v>
      </c>
      <c r="E45" s="10">
        <f t="shared" si="7"/>
        <v>0</v>
      </c>
      <c r="F45" s="269"/>
      <c r="G45" s="10">
        <f t="shared" si="8"/>
        <v>0</v>
      </c>
      <c r="H45" s="268">
        <v>0</v>
      </c>
      <c r="I45" s="268">
        <v>0</v>
      </c>
      <c r="J45" s="268">
        <v>0</v>
      </c>
      <c r="K45" s="268">
        <v>0</v>
      </c>
      <c r="L45" s="1" t="s">
        <v>254</v>
      </c>
      <c r="M45" s="305"/>
    </row>
    <row r="46" spans="1:13" s="87" customFormat="1" ht="213.75" customHeight="1">
      <c r="A46" s="262" t="s">
        <v>262</v>
      </c>
      <c r="B46" s="270" t="s">
        <v>263</v>
      </c>
      <c r="C46" s="264" t="s">
        <v>46</v>
      </c>
      <c r="D46" s="264" t="s">
        <v>261</v>
      </c>
      <c r="E46" s="47">
        <f t="shared" si="7"/>
        <v>0</v>
      </c>
      <c r="F46" s="267">
        <v>0</v>
      </c>
      <c r="G46" s="10">
        <f t="shared" si="8"/>
        <v>0</v>
      </c>
      <c r="H46" s="267">
        <v>0</v>
      </c>
      <c r="I46" s="267">
        <v>0</v>
      </c>
      <c r="J46" s="267">
        <v>0</v>
      </c>
      <c r="K46" s="267">
        <v>0</v>
      </c>
      <c r="L46" s="264" t="s">
        <v>46</v>
      </c>
      <c r="M46" s="305"/>
    </row>
    <row r="47" spans="1:13" s="87" customFormat="1" ht="117" customHeight="1">
      <c r="A47" s="262" t="s">
        <v>264</v>
      </c>
      <c r="B47" s="263" t="s">
        <v>265</v>
      </c>
      <c r="C47" s="264" t="s">
        <v>46</v>
      </c>
      <c r="D47" s="266" t="s">
        <v>261</v>
      </c>
      <c r="E47" s="47">
        <f t="shared" si="7"/>
        <v>0</v>
      </c>
      <c r="F47" s="267">
        <v>0</v>
      </c>
      <c r="G47" s="47">
        <f t="shared" si="8"/>
        <v>0</v>
      </c>
      <c r="H47" s="267">
        <v>0</v>
      </c>
      <c r="I47" s="267">
        <v>0</v>
      </c>
      <c r="J47" s="267">
        <v>0</v>
      </c>
      <c r="K47" s="267">
        <v>0</v>
      </c>
      <c r="L47" s="264" t="s">
        <v>46</v>
      </c>
      <c r="M47" s="305"/>
    </row>
    <row r="48" spans="1:13" s="87" customFormat="1" ht="127.5" customHeight="1">
      <c r="A48" s="262" t="s">
        <v>266</v>
      </c>
      <c r="B48" s="178" t="s">
        <v>267</v>
      </c>
      <c r="C48" s="1" t="s">
        <v>268</v>
      </c>
      <c r="D48" s="4">
        <v>2021</v>
      </c>
      <c r="E48" s="47">
        <f t="shared" si="7"/>
        <v>0</v>
      </c>
      <c r="F48" s="267">
        <v>0</v>
      </c>
      <c r="G48" s="47">
        <f t="shared" si="8"/>
        <v>0</v>
      </c>
      <c r="H48" s="47">
        <v>0</v>
      </c>
      <c r="I48" s="47">
        <v>0</v>
      </c>
      <c r="J48" s="47">
        <v>0</v>
      </c>
      <c r="K48" s="47">
        <v>0</v>
      </c>
      <c r="L48" s="264" t="s">
        <v>46</v>
      </c>
      <c r="M48" s="305"/>
    </row>
    <row r="49" spans="1:13" s="87" customFormat="1" ht="247.5" customHeight="1">
      <c r="A49" s="262" t="s">
        <v>269</v>
      </c>
      <c r="B49" s="178" t="s">
        <v>270</v>
      </c>
      <c r="C49" s="1" t="s">
        <v>46</v>
      </c>
      <c r="D49" s="4">
        <v>2021</v>
      </c>
      <c r="E49" s="47">
        <f t="shared" si="7"/>
        <v>0</v>
      </c>
      <c r="F49" s="267"/>
      <c r="G49" s="47">
        <f t="shared" si="8"/>
        <v>0</v>
      </c>
      <c r="H49" s="47">
        <v>0</v>
      </c>
      <c r="I49" s="47">
        <v>0</v>
      </c>
      <c r="J49" s="47">
        <v>0</v>
      </c>
      <c r="K49" s="47">
        <v>0</v>
      </c>
      <c r="L49" s="264" t="s">
        <v>46</v>
      </c>
      <c r="M49" s="305"/>
    </row>
    <row r="50" spans="1:13" s="87" customFormat="1" ht="177" customHeight="1">
      <c r="A50" s="262" t="s">
        <v>271</v>
      </c>
      <c r="B50" s="178" t="s">
        <v>272</v>
      </c>
      <c r="C50" s="1" t="s">
        <v>46</v>
      </c>
      <c r="D50" s="4">
        <v>2021</v>
      </c>
      <c r="E50" s="47">
        <f t="shared" si="7"/>
        <v>0</v>
      </c>
      <c r="F50" s="267"/>
      <c r="G50" s="47">
        <f t="shared" si="8"/>
        <v>0</v>
      </c>
      <c r="H50" s="47">
        <v>0</v>
      </c>
      <c r="I50" s="47">
        <v>0</v>
      </c>
      <c r="J50" s="47">
        <v>0</v>
      </c>
      <c r="K50" s="47">
        <v>0</v>
      </c>
      <c r="L50" s="8"/>
      <c r="M50" s="305"/>
    </row>
    <row r="51" spans="1:13" s="87" customFormat="1" ht="155.25" customHeight="1">
      <c r="A51" s="262" t="s">
        <v>273</v>
      </c>
      <c r="B51" s="178" t="s">
        <v>274</v>
      </c>
      <c r="C51" s="1" t="s">
        <v>46</v>
      </c>
      <c r="D51" s="4">
        <v>2021</v>
      </c>
      <c r="E51" s="47">
        <f t="shared" si="7"/>
        <v>0</v>
      </c>
      <c r="F51" s="267"/>
      <c r="G51" s="47">
        <f t="shared" si="8"/>
        <v>0</v>
      </c>
      <c r="H51" s="47">
        <v>0</v>
      </c>
      <c r="I51" s="47">
        <v>0</v>
      </c>
      <c r="J51" s="47">
        <v>0</v>
      </c>
      <c r="K51" s="47">
        <v>0</v>
      </c>
      <c r="L51" s="264" t="s">
        <v>46</v>
      </c>
      <c r="M51" s="305"/>
    </row>
    <row r="52" spans="1:13" s="87" customFormat="1" ht="192" customHeight="1">
      <c r="A52" s="262" t="s">
        <v>275</v>
      </c>
      <c r="B52" s="178" t="s">
        <v>276</v>
      </c>
      <c r="C52" s="1" t="s">
        <v>46</v>
      </c>
      <c r="D52" s="4">
        <v>2021</v>
      </c>
      <c r="E52" s="47">
        <f t="shared" si="7"/>
        <v>0</v>
      </c>
      <c r="F52" s="271"/>
      <c r="G52" s="47">
        <f t="shared" si="8"/>
        <v>0</v>
      </c>
      <c r="H52" s="47">
        <v>0</v>
      </c>
      <c r="I52" s="47">
        <v>0</v>
      </c>
      <c r="J52" s="47">
        <v>0</v>
      </c>
      <c r="K52" s="47">
        <v>0</v>
      </c>
      <c r="L52" s="264" t="s">
        <v>46</v>
      </c>
      <c r="M52" s="306"/>
    </row>
    <row r="53" spans="1:13" s="87" customFormat="1" ht="21">
      <c r="A53" s="298" t="s">
        <v>277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300"/>
    </row>
    <row r="54" spans="1:13" s="87" customFormat="1" ht="21">
      <c r="A54" s="301" t="s">
        <v>245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3"/>
    </row>
    <row r="55" spans="1:13" s="87" customFormat="1" ht="69.75" customHeight="1">
      <c r="A55" s="309" t="s">
        <v>246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1"/>
    </row>
    <row r="56" spans="1:13" s="87" customFormat="1" ht="21">
      <c r="A56" s="488" t="s">
        <v>2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90"/>
    </row>
    <row r="57" spans="1:13" s="273" customFormat="1" ht="159" customHeight="1">
      <c r="A57" s="282" t="s">
        <v>278</v>
      </c>
      <c r="B57" s="284" t="s">
        <v>293</v>
      </c>
      <c r="C57" s="4"/>
      <c r="D57" s="4">
        <v>2021</v>
      </c>
      <c r="E57" s="47">
        <f aca="true" t="shared" si="9" ref="E57:J57">E58</f>
        <v>0</v>
      </c>
      <c r="F57" s="47">
        <f t="shared" si="9"/>
        <v>0</v>
      </c>
      <c r="G57" s="47">
        <f t="shared" si="9"/>
        <v>0</v>
      </c>
      <c r="H57" s="47">
        <f t="shared" si="9"/>
        <v>0</v>
      </c>
      <c r="I57" s="47">
        <f t="shared" si="9"/>
        <v>0</v>
      </c>
      <c r="J57" s="47">
        <f t="shared" si="9"/>
        <v>0</v>
      </c>
      <c r="K57" s="47">
        <f>K58</f>
        <v>0</v>
      </c>
      <c r="L57" s="4"/>
      <c r="M57" s="113"/>
    </row>
    <row r="58" spans="1:13" s="273" customFormat="1" ht="143.25" customHeight="1">
      <c r="A58" s="283"/>
      <c r="B58" s="285"/>
      <c r="C58" s="1" t="s">
        <v>279</v>
      </c>
      <c r="D58" s="1">
        <v>2021</v>
      </c>
      <c r="E58" s="10">
        <f>F58+G58+J58+K58</f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4"/>
      <c r="M58" s="113"/>
    </row>
    <row r="59" spans="1:13" s="87" customFormat="1" ht="21">
      <c r="A59" s="86"/>
      <c r="B59" s="477" t="s">
        <v>280</v>
      </c>
      <c r="C59" s="8"/>
      <c r="D59" s="8">
        <v>2020</v>
      </c>
      <c r="E59" s="274">
        <f aca="true" t="shared" si="10" ref="E59:J59">E17</f>
        <v>1128.3</v>
      </c>
      <c r="F59" s="274">
        <f t="shared" si="10"/>
        <v>0</v>
      </c>
      <c r="G59" s="274">
        <f t="shared" si="10"/>
        <v>1117</v>
      </c>
      <c r="H59" s="274">
        <f t="shared" si="10"/>
        <v>1117</v>
      </c>
      <c r="I59" s="274">
        <f t="shared" si="10"/>
        <v>0</v>
      </c>
      <c r="J59" s="274">
        <f t="shared" si="10"/>
        <v>11.299999999999997</v>
      </c>
      <c r="K59" s="274">
        <f>K17</f>
        <v>0</v>
      </c>
      <c r="L59" s="8"/>
      <c r="M59" s="39"/>
    </row>
    <row r="60" spans="1:13" s="87" customFormat="1" ht="21">
      <c r="A60" s="86"/>
      <c r="B60" s="478"/>
      <c r="C60" s="8"/>
      <c r="D60" s="8">
        <v>2021</v>
      </c>
      <c r="E60" s="274">
        <f aca="true" t="shared" si="11" ref="E60:J60">E29+E37+E43+E57+E18</f>
        <v>6842.400000000001</v>
      </c>
      <c r="F60" s="274">
        <f t="shared" si="11"/>
        <v>0</v>
      </c>
      <c r="G60" s="274">
        <f t="shared" si="11"/>
        <v>6636.1</v>
      </c>
      <c r="H60" s="274">
        <f t="shared" si="11"/>
        <v>6636.1</v>
      </c>
      <c r="I60" s="274">
        <f t="shared" si="11"/>
        <v>0</v>
      </c>
      <c r="J60" s="274">
        <f t="shared" si="11"/>
        <v>206.3</v>
      </c>
      <c r="K60" s="274">
        <f>K29+K37+K43+K57+K18</f>
        <v>0</v>
      </c>
      <c r="L60" s="8"/>
      <c r="M60" s="39"/>
    </row>
    <row r="61" spans="1:13" s="87" customFormat="1" ht="21">
      <c r="A61" s="86"/>
      <c r="B61" s="478"/>
      <c r="C61" s="8"/>
      <c r="D61" s="8">
        <v>2022</v>
      </c>
      <c r="E61" s="274">
        <f aca="true" t="shared" si="12" ref="E61:J61">E31+E38</f>
        <v>1092</v>
      </c>
      <c r="F61" s="274">
        <f t="shared" si="12"/>
        <v>0</v>
      </c>
      <c r="G61" s="274">
        <f t="shared" si="12"/>
        <v>950</v>
      </c>
      <c r="H61" s="274">
        <f t="shared" si="12"/>
        <v>950</v>
      </c>
      <c r="I61" s="274">
        <f t="shared" si="12"/>
        <v>0</v>
      </c>
      <c r="J61" s="274">
        <f t="shared" si="12"/>
        <v>142</v>
      </c>
      <c r="K61" s="274">
        <f>K31+K38</f>
        <v>0</v>
      </c>
      <c r="L61" s="8"/>
      <c r="M61" s="39"/>
    </row>
    <row r="62" spans="1:13" s="87" customFormat="1" ht="21">
      <c r="A62" s="86"/>
      <c r="B62" s="479"/>
      <c r="C62" s="8"/>
      <c r="D62" s="8">
        <v>2023</v>
      </c>
      <c r="E62" s="274">
        <f>F62+G62+J62+K62</f>
        <v>0</v>
      </c>
      <c r="F62" s="274">
        <v>0</v>
      </c>
      <c r="G62" s="274">
        <f>H62+I62</f>
        <v>0</v>
      </c>
      <c r="H62" s="274">
        <v>0</v>
      </c>
      <c r="I62" s="274">
        <v>0</v>
      </c>
      <c r="J62" s="274">
        <v>0</v>
      </c>
      <c r="K62" s="274">
        <v>0</v>
      </c>
      <c r="L62" s="8"/>
      <c r="M62" s="39"/>
    </row>
    <row r="63" spans="1:13" s="87" customFormat="1" ht="21">
      <c r="A63" s="86"/>
      <c r="B63" s="8" t="s">
        <v>281</v>
      </c>
      <c r="C63" s="8"/>
      <c r="D63" s="8"/>
      <c r="E63" s="274">
        <f>E59+E60+E61+E62</f>
        <v>9062.7</v>
      </c>
      <c r="F63" s="274">
        <f aca="true" t="shared" si="13" ref="F63:K63">F59+F60+F61+F62</f>
        <v>0</v>
      </c>
      <c r="G63" s="274">
        <f t="shared" si="13"/>
        <v>8703.1</v>
      </c>
      <c r="H63" s="274">
        <f t="shared" si="13"/>
        <v>8703.1</v>
      </c>
      <c r="I63" s="274">
        <f t="shared" si="13"/>
        <v>0</v>
      </c>
      <c r="J63" s="274">
        <f t="shared" si="13"/>
        <v>359.6</v>
      </c>
      <c r="K63" s="274">
        <f t="shared" si="13"/>
        <v>0</v>
      </c>
      <c r="L63" s="8"/>
      <c r="M63" s="39"/>
    </row>
    <row r="64" spans="1:13" s="77" customFormat="1" ht="24" customHeight="1">
      <c r="A64" s="321" t="s">
        <v>29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3"/>
    </row>
    <row r="65" spans="1:13" s="77" customFormat="1" ht="20.25" customHeight="1">
      <c r="A65" s="481" t="s">
        <v>72</v>
      </c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4"/>
    </row>
    <row r="66" spans="1:13" s="77" customFormat="1" ht="86.25" customHeight="1">
      <c r="A66" s="482" t="s">
        <v>176</v>
      </c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4"/>
    </row>
    <row r="67" spans="1:13" s="77" customFormat="1" ht="25.5" customHeight="1">
      <c r="A67" s="481" t="s">
        <v>2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3"/>
    </row>
    <row r="68" spans="1:13" s="77" customFormat="1" ht="24.75" customHeight="1">
      <c r="A68" s="372" t="s">
        <v>73</v>
      </c>
      <c r="B68" s="358" t="s">
        <v>74</v>
      </c>
      <c r="C68" s="358"/>
      <c r="D68" s="477">
        <v>2017</v>
      </c>
      <c r="E68" s="414">
        <f>F68+G68+J68+K68</f>
        <v>0</v>
      </c>
      <c r="F68" s="414"/>
      <c r="G68" s="486">
        <f>H68+I68</f>
        <v>0</v>
      </c>
      <c r="H68" s="428"/>
      <c r="I68" s="428">
        <v>0</v>
      </c>
      <c r="J68" s="428">
        <v>0</v>
      </c>
      <c r="K68" s="485"/>
      <c r="L68" s="360" t="s">
        <v>3</v>
      </c>
      <c r="M68" s="358" t="s">
        <v>66</v>
      </c>
    </row>
    <row r="69" spans="1:13" s="77" customFormat="1" ht="21.75" customHeight="1">
      <c r="A69" s="372"/>
      <c r="B69" s="358"/>
      <c r="C69" s="358"/>
      <c r="D69" s="479"/>
      <c r="E69" s="414"/>
      <c r="F69" s="414"/>
      <c r="G69" s="486"/>
      <c r="H69" s="428"/>
      <c r="I69" s="428"/>
      <c r="J69" s="428"/>
      <c r="K69" s="485"/>
      <c r="L69" s="360"/>
      <c r="M69" s="358"/>
    </row>
    <row r="70" spans="1:13" s="77" customFormat="1" ht="24.75" customHeight="1">
      <c r="A70" s="372"/>
      <c r="B70" s="358"/>
      <c r="C70" s="358"/>
      <c r="D70" s="4">
        <v>2018</v>
      </c>
      <c r="E70" s="25">
        <f>F70+G70+J70+K70</f>
        <v>0</v>
      </c>
      <c r="F70" s="25"/>
      <c r="G70" s="11">
        <f>H70+I70</f>
        <v>0</v>
      </c>
      <c r="H70" s="2"/>
      <c r="I70" s="2">
        <v>0</v>
      </c>
      <c r="J70" s="2">
        <v>0</v>
      </c>
      <c r="K70" s="40"/>
      <c r="L70" s="72" t="s">
        <v>3</v>
      </c>
      <c r="M70" s="358"/>
    </row>
    <row r="71" spans="1:13" s="77" customFormat="1" ht="29.25" customHeight="1">
      <c r="A71" s="372"/>
      <c r="B71" s="358"/>
      <c r="C71" s="358"/>
      <c r="D71" s="4">
        <v>2019</v>
      </c>
      <c r="E71" s="25">
        <f>F71+G71+J71+K71</f>
        <v>0</v>
      </c>
      <c r="F71" s="11"/>
      <c r="G71" s="11">
        <f>H71+I71</f>
        <v>0</v>
      </c>
      <c r="H71" s="11"/>
      <c r="I71" s="2">
        <v>0</v>
      </c>
      <c r="J71" s="2">
        <v>0</v>
      </c>
      <c r="K71" s="40"/>
      <c r="L71" s="72" t="s">
        <v>3</v>
      </c>
      <c r="M71" s="358"/>
    </row>
    <row r="72" spans="1:13" s="77" customFormat="1" ht="25.5" customHeight="1">
      <c r="A72" s="372"/>
      <c r="B72" s="358"/>
      <c r="C72" s="358"/>
      <c r="D72" s="4">
        <v>2020</v>
      </c>
      <c r="E72" s="25">
        <f>F72+G72+J72+K72</f>
        <v>0</v>
      </c>
      <c r="F72" s="25"/>
      <c r="G72" s="11">
        <f>H72+I72</f>
        <v>0</v>
      </c>
      <c r="H72" s="11"/>
      <c r="I72" s="2">
        <v>0</v>
      </c>
      <c r="J72" s="2">
        <v>0</v>
      </c>
      <c r="K72" s="23"/>
      <c r="L72" s="3" t="s">
        <v>3</v>
      </c>
      <c r="M72" s="358"/>
    </row>
    <row r="73" spans="1:13" s="77" customFormat="1" ht="27.75" customHeight="1">
      <c r="A73" s="372"/>
      <c r="B73" s="358"/>
      <c r="C73" s="358"/>
      <c r="D73" s="4">
        <v>2021</v>
      </c>
      <c r="E73" s="25">
        <f>F73+G73+J73+K73</f>
        <v>0</v>
      </c>
      <c r="F73" s="25"/>
      <c r="G73" s="11">
        <f>H73+I73</f>
        <v>0</v>
      </c>
      <c r="H73" s="11"/>
      <c r="I73" s="2">
        <v>0</v>
      </c>
      <c r="J73" s="2">
        <v>0</v>
      </c>
      <c r="K73" s="23"/>
      <c r="L73" s="3" t="s">
        <v>3</v>
      </c>
      <c r="M73" s="358"/>
    </row>
    <row r="74" spans="1:13" s="77" customFormat="1" ht="55.5" customHeight="1">
      <c r="A74" s="372" t="s">
        <v>75</v>
      </c>
      <c r="B74" s="358" t="s">
        <v>154</v>
      </c>
      <c r="C74" s="358"/>
      <c r="D74" s="4">
        <v>2017</v>
      </c>
      <c r="E74" s="25">
        <f aca="true" t="shared" si="14" ref="E74:E80">F74+I74+J74+K74</f>
        <v>155.5623</v>
      </c>
      <c r="F74" s="25"/>
      <c r="G74" s="25">
        <f aca="true" t="shared" si="15" ref="G74:G80">H74+I74</f>
        <v>0</v>
      </c>
      <c r="H74" s="26"/>
      <c r="I74" s="27">
        <v>0</v>
      </c>
      <c r="J74" s="27">
        <f>40+68.197-39.45+0.42+51.795+4.6003+30</f>
        <v>155.5623</v>
      </c>
      <c r="K74" s="28"/>
      <c r="L74" s="3" t="s">
        <v>6</v>
      </c>
      <c r="M74" s="358" t="s">
        <v>57</v>
      </c>
    </row>
    <row r="75" spans="1:13" s="77" customFormat="1" ht="57.75" customHeight="1">
      <c r="A75" s="372"/>
      <c r="B75" s="358"/>
      <c r="C75" s="358"/>
      <c r="D75" s="4">
        <v>2018</v>
      </c>
      <c r="E75" s="25">
        <f t="shared" si="14"/>
        <v>394.40002999999996</v>
      </c>
      <c r="F75" s="25"/>
      <c r="G75" s="25">
        <f t="shared" si="15"/>
        <v>0</v>
      </c>
      <c r="H75" s="26"/>
      <c r="I75" s="27">
        <v>0</v>
      </c>
      <c r="J75" s="27">
        <f>325-70-60+150-5.5-9.25-8.1+41.63+30.62003</f>
        <v>394.40002999999996</v>
      </c>
      <c r="K75" s="28"/>
      <c r="L75" s="3" t="s">
        <v>117</v>
      </c>
      <c r="M75" s="358"/>
    </row>
    <row r="76" spans="1:13" s="77" customFormat="1" ht="50.25" customHeight="1">
      <c r="A76" s="372"/>
      <c r="B76" s="358"/>
      <c r="C76" s="358"/>
      <c r="D76" s="4">
        <v>2019</v>
      </c>
      <c r="E76" s="25">
        <f t="shared" si="14"/>
        <v>194.37999999999997</v>
      </c>
      <c r="F76" s="25"/>
      <c r="G76" s="25">
        <f t="shared" si="15"/>
        <v>0</v>
      </c>
      <c r="H76" s="26"/>
      <c r="I76" s="27">
        <v>0</v>
      </c>
      <c r="J76" s="25">
        <f>363.78-1.1-12.25-15.357-19-61.293-19-42.5+1.1</f>
        <v>194.37999999999997</v>
      </c>
      <c r="K76" s="28"/>
      <c r="L76" s="3" t="s">
        <v>30</v>
      </c>
      <c r="M76" s="358"/>
    </row>
    <row r="77" spans="1:13" s="77" customFormat="1" ht="63" customHeight="1">
      <c r="A77" s="372"/>
      <c r="B77" s="358"/>
      <c r="C77" s="358"/>
      <c r="D77" s="4">
        <v>2020</v>
      </c>
      <c r="E77" s="25">
        <f t="shared" si="14"/>
        <v>276.53</v>
      </c>
      <c r="F77" s="25"/>
      <c r="G77" s="25">
        <f t="shared" si="15"/>
        <v>0</v>
      </c>
      <c r="H77" s="26"/>
      <c r="I77" s="27">
        <v>0</v>
      </c>
      <c r="J77" s="25">
        <v>276.53</v>
      </c>
      <c r="K77" s="28"/>
      <c r="L77" s="3" t="s">
        <v>30</v>
      </c>
      <c r="M77" s="358"/>
    </row>
    <row r="78" spans="1:13" s="77" customFormat="1" ht="66.75" customHeight="1">
      <c r="A78" s="372"/>
      <c r="B78" s="358"/>
      <c r="C78" s="358"/>
      <c r="D78" s="4">
        <v>2021</v>
      </c>
      <c r="E78" s="25">
        <f>F78+I78+J78+K78</f>
        <v>276.53</v>
      </c>
      <c r="F78" s="25"/>
      <c r="G78" s="25">
        <f>H78+I78</f>
        <v>0</v>
      </c>
      <c r="H78" s="26"/>
      <c r="I78" s="27">
        <v>0</v>
      </c>
      <c r="J78" s="25">
        <v>276.53</v>
      </c>
      <c r="K78" s="28"/>
      <c r="L78" s="3"/>
      <c r="M78" s="358"/>
    </row>
    <row r="79" spans="1:13" s="77" customFormat="1" ht="57.75" customHeight="1">
      <c r="A79" s="372"/>
      <c r="B79" s="358"/>
      <c r="C79" s="358"/>
      <c r="D79" s="4">
        <v>2022</v>
      </c>
      <c r="E79" s="25">
        <f t="shared" si="14"/>
        <v>276.53</v>
      </c>
      <c r="F79" s="25"/>
      <c r="G79" s="25">
        <f t="shared" si="15"/>
        <v>0</v>
      </c>
      <c r="H79" s="26"/>
      <c r="I79" s="27">
        <v>0</v>
      </c>
      <c r="J79" s="25">
        <v>276.53</v>
      </c>
      <c r="K79" s="28"/>
      <c r="L79" s="3" t="s">
        <v>30</v>
      </c>
      <c r="M79" s="358"/>
    </row>
    <row r="80" spans="1:13" s="77" customFormat="1" ht="45.75" customHeight="1">
      <c r="A80" s="296" t="s">
        <v>150</v>
      </c>
      <c r="B80" s="292" t="s">
        <v>151</v>
      </c>
      <c r="C80" s="293"/>
      <c r="D80" s="4">
        <v>2019</v>
      </c>
      <c r="E80" s="25">
        <f t="shared" si="14"/>
        <v>0</v>
      </c>
      <c r="F80" s="25"/>
      <c r="G80" s="25">
        <f t="shared" si="15"/>
        <v>0</v>
      </c>
      <c r="H80" s="26"/>
      <c r="I80" s="27">
        <v>0</v>
      </c>
      <c r="J80" s="25">
        <v>0</v>
      </c>
      <c r="K80" s="28"/>
      <c r="L80" s="3"/>
      <c r="M80" s="24"/>
    </row>
    <row r="81" spans="1:13" s="77" customFormat="1" ht="52.5" customHeight="1">
      <c r="A81" s="359"/>
      <c r="B81" s="294"/>
      <c r="C81" s="295"/>
      <c r="D81" s="4">
        <v>2020</v>
      </c>
      <c r="E81" s="25">
        <f>F81+I81+J81+K81</f>
        <v>0</v>
      </c>
      <c r="F81" s="25"/>
      <c r="G81" s="25">
        <f>H81+I81</f>
        <v>0</v>
      </c>
      <c r="H81" s="26"/>
      <c r="I81" s="27">
        <v>0</v>
      </c>
      <c r="J81" s="25">
        <v>0</v>
      </c>
      <c r="K81" s="28"/>
      <c r="L81" s="3"/>
      <c r="M81" s="24"/>
    </row>
    <row r="82" spans="1:13" s="77" customFormat="1" ht="45.75" customHeight="1">
      <c r="A82" s="126" t="s">
        <v>222</v>
      </c>
      <c r="B82" s="358" t="s">
        <v>223</v>
      </c>
      <c r="C82" s="358"/>
      <c r="D82" s="4">
        <v>2019</v>
      </c>
      <c r="E82" s="25">
        <f>F82+I82+J82+K82</f>
        <v>42.5</v>
      </c>
      <c r="F82" s="25"/>
      <c r="G82" s="25">
        <f>H82+I82</f>
        <v>0</v>
      </c>
      <c r="H82" s="26"/>
      <c r="I82" s="27"/>
      <c r="J82" s="25">
        <v>42.5</v>
      </c>
      <c r="K82" s="28"/>
      <c r="L82" s="3"/>
      <c r="M82" s="24"/>
    </row>
    <row r="83" spans="1:13" s="77" customFormat="1" ht="24.75" customHeight="1">
      <c r="A83" s="372" t="s">
        <v>76</v>
      </c>
      <c r="B83" s="358" t="s">
        <v>77</v>
      </c>
      <c r="C83" s="358"/>
      <c r="D83" s="4">
        <v>2017</v>
      </c>
      <c r="E83" s="29">
        <f aca="true" t="shared" si="16" ref="E83:E89">F83+G83+J83+K83</f>
        <v>11</v>
      </c>
      <c r="F83" s="29"/>
      <c r="G83" s="30">
        <f aca="true" t="shared" si="17" ref="G83:G90">H83+I83</f>
        <v>0</v>
      </c>
      <c r="H83" s="31"/>
      <c r="I83" s="32">
        <v>0</v>
      </c>
      <c r="J83" s="32">
        <f>11</f>
        <v>11</v>
      </c>
      <c r="K83" s="33"/>
      <c r="L83" s="6" t="s">
        <v>5</v>
      </c>
      <c r="M83" s="358" t="s">
        <v>56</v>
      </c>
    </row>
    <row r="84" spans="1:13" s="77" customFormat="1" ht="24.75" customHeight="1">
      <c r="A84" s="372"/>
      <c r="B84" s="358"/>
      <c r="C84" s="358"/>
      <c r="D84" s="4">
        <v>2018</v>
      </c>
      <c r="E84" s="29">
        <f t="shared" si="16"/>
        <v>0</v>
      </c>
      <c r="F84" s="29"/>
      <c r="G84" s="30">
        <f t="shared" si="17"/>
        <v>0</v>
      </c>
      <c r="H84" s="31"/>
      <c r="I84" s="32">
        <v>0</v>
      </c>
      <c r="J84" s="32">
        <v>0</v>
      </c>
      <c r="K84" s="33"/>
      <c r="L84" s="6" t="s">
        <v>4</v>
      </c>
      <c r="M84" s="358"/>
    </row>
    <row r="85" spans="1:13" s="77" customFormat="1" ht="24.75" customHeight="1">
      <c r="A85" s="372"/>
      <c r="B85" s="358"/>
      <c r="C85" s="358"/>
      <c r="D85" s="4">
        <v>2019</v>
      </c>
      <c r="E85" s="29">
        <f t="shared" si="16"/>
        <v>0</v>
      </c>
      <c r="F85" s="29"/>
      <c r="G85" s="30">
        <f t="shared" si="17"/>
        <v>0</v>
      </c>
      <c r="H85" s="31"/>
      <c r="I85" s="32">
        <v>0</v>
      </c>
      <c r="J85" s="32">
        <v>0</v>
      </c>
      <c r="K85" s="33"/>
      <c r="L85" s="6" t="s">
        <v>4</v>
      </c>
      <c r="M85" s="358"/>
    </row>
    <row r="86" spans="1:13" s="77" customFormat="1" ht="24.75" customHeight="1">
      <c r="A86" s="372"/>
      <c r="B86" s="358"/>
      <c r="C86" s="358"/>
      <c r="D86" s="4">
        <v>2020</v>
      </c>
      <c r="E86" s="29">
        <f t="shared" si="16"/>
        <v>0</v>
      </c>
      <c r="F86" s="29"/>
      <c r="G86" s="30">
        <f t="shared" si="17"/>
        <v>0</v>
      </c>
      <c r="H86" s="31"/>
      <c r="I86" s="32">
        <v>0</v>
      </c>
      <c r="J86" s="32">
        <v>0</v>
      </c>
      <c r="K86" s="33"/>
      <c r="L86" s="6" t="s">
        <v>4</v>
      </c>
      <c r="M86" s="358"/>
    </row>
    <row r="87" spans="1:13" s="77" customFormat="1" ht="24.75" customHeight="1">
      <c r="A87" s="372"/>
      <c r="B87" s="358"/>
      <c r="C87" s="358"/>
      <c r="D87" s="4">
        <v>2021</v>
      </c>
      <c r="E87" s="29">
        <f>F87+G87+J87+K87</f>
        <v>0</v>
      </c>
      <c r="F87" s="29"/>
      <c r="G87" s="30">
        <f>H87+I87</f>
        <v>0</v>
      </c>
      <c r="H87" s="31"/>
      <c r="I87" s="32">
        <v>0</v>
      </c>
      <c r="J87" s="32">
        <v>0</v>
      </c>
      <c r="K87" s="33"/>
      <c r="L87" s="6"/>
      <c r="M87" s="358"/>
    </row>
    <row r="88" spans="1:13" s="77" customFormat="1" ht="24.75" customHeight="1">
      <c r="A88" s="372"/>
      <c r="B88" s="358"/>
      <c r="C88" s="358"/>
      <c r="D88" s="4">
        <v>2022</v>
      </c>
      <c r="E88" s="29">
        <f t="shared" si="16"/>
        <v>0</v>
      </c>
      <c r="F88" s="29"/>
      <c r="G88" s="30">
        <f t="shared" si="17"/>
        <v>0</v>
      </c>
      <c r="H88" s="31"/>
      <c r="I88" s="32">
        <v>0</v>
      </c>
      <c r="J88" s="32">
        <v>0</v>
      </c>
      <c r="K88" s="33"/>
      <c r="L88" s="6" t="s">
        <v>4</v>
      </c>
      <c r="M88" s="358"/>
    </row>
    <row r="89" spans="1:13" s="77" customFormat="1" ht="24.75" customHeight="1">
      <c r="A89" s="372" t="s">
        <v>78</v>
      </c>
      <c r="B89" s="472" t="s">
        <v>79</v>
      </c>
      <c r="C89" s="472"/>
      <c r="D89" s="4">
        <v>2017</v>
      </c>
      <c r="E89" s="25">
        <f t="shared" si="16"/>
        <v>34.265</v>
      </c>
      <c r="F89" s="25"/>
      <c r="G89" s="27">
        <f t="shared" si="17"/>
        <v>0</v>
      </c>
      <c r="H89" s="27"/>
      <c r="I89" s="27">
        <v>0</v>
      </c>
      <c r="J89" s="27">
        <f>100-13.94-51.795</f>
        <v>34.265</v>
      </c>
      <c r="K89" s="34"/>
      <c r="L89" s="6" t="s">
        <v>3</v>
      </c>
      <c r="M89" s="358" t="s">
        <v>55</v>
      </c>
    </row>
    <row r="90" spans="1:13" s="77" customFormat="1" ht="15.75" customHeight="1">
      <c r="A90" s="372"/>
      <c r="B90" s="472"/>
      <c r="C90" s="472"/>
      <c r="D90" s="410">
        <v>2018</v>
      </c>
      <c r="E90" s="414">
        <f>F90+G90+J90+K91</f>
        <v>22.85</v>
      </c>
      <c r="F90" s="414"/>
      <c r="G90" s="428">
        <f t="shared" si="17"/>
        <v>0</v>
      </c>
      <c r="H90" s="428"/>
      <c r="I90" s="428">
        <v>0</v>
      </c>
      <c r="J90" s="428">
        <f>5.5+9.25+8.1</f>
        <v>22.85</v>
      </c>
      <c r="K90" s="433"/>
      <c r="L90" s="376" t="s">
        <v>3</v>
      </c>
      <c r="M90" s="358"/>
    </row>
    <row r="91" spans="1:13" s="77" customFormat="1" ht="13.5" customHeight="1">
      <c r="A91" s="372"/>
      <c r="B91" s="472"/>
      <c r="C91" s="472"/>
      <c r="D91" s="410"/>
      <c r="E91" s="414"/>
      <c r="F91" s="414"/>
      <c r="G91" s="428"/>
      <c r="H91" s="428"/>
      <c r="I91" s="428"/>
      <c r="J91" s="428"/>
      <c r="K91" s="434"/>
      <c r="L91" s="376"/>
      <c r="M91" s="358"/>
    </row>
    <row r="92" spans="1:13" s="77" customFormat="1" ht="37.5" customHeight="1">
      <c r="A92" s="372"/>
      <c r="B92" s="472"/>
      <c r="C92" s="472"/>
      <c r="D92" s="4">
        <v>2019</v>
      </c>
      <c r="E92" s="25">
        <f aca="true" t="shared" si="18" ref="E92:E101">F92+G92+J92+K92</f>
        <v>35.1</v>
      </c>
      <c r="F92" s="27"/>
      <c r="G92" s="27">
        <f aca="true" t="shared" si="19" ref="G92:G101">H92+I92</f>
        <v>0</v>
      </c>
      <c r="H92" s="27"/>
      <c r="I92" s="27">
        <v>0</v>
      </c>
      <c r="J92" s="27">
        <f>22.85+12.25</f>
        <v>35.1</v>
      </c>
      <c r="K92" s="35"/>
      <c r="L92" s="6" t="s">
        <v>3</v>
      </c>
      <c r="M92" s="358"/>
    </row>
    <row r="93" spans="1:13" s="77" customFormat="1" ht="29.25" customHeight="1">
      <c r="A93" s="372"/>
      <c r="B93" s="472"/>
      <c r="C93" s="472"/>
      <c r="D93" s="4">
        <v>2020</v>
      </c>
      <c r="E93" s="25">
        <f>F93+G93+J93+K93</f>
        <v>35.1</v>
      </c>
      <c r="F93" s="27"/>
      <c r="G93" s="27">
        <f>H93+I93</f>
        <v>0</v>
      </c>
      <c r="H93" s="27"/>
      <c r="I93" s="27">
        <v>0</v>
      </c>
      <c r="J93" s="27">
        <v>35.1</v>
      </c>
      <c r="K93" s="35"/>
      <c r="L93" s="6" t="s">
        <v>3</v>
      </c>
      <c r="M93" s="24"/>
    </row>
    <row r="94" spans="1:13" s="77" customFormat="1" ht="29.25" customHeight="1">
      <c r="A94" s="372"/>
      <c r="B94" s="472"/>
      <c r="C94" s="472"/>
      <c r="D94" s="4">
        <v>2021</v>
      </c>
      <c r="E94" s="25">
        <f>F94+G94+J94+K94</f>
        <v>35.1</v>
      </c>
      <c r="F94" s="27"/>
      <c r="G94" s="27">
        <f>H94+I94</f>
        <v>0</v>
      </c>
      <c r="H94" s="27"/>
      <c r="I94" s="27">
        <v>0</v>
      </c>
      <c r="J94" s="27">
        <v>35.1</v>
      </c>
      <c r="K94" s="35"/>
      <c r="L94" s="6"/>
      <c r="M94" s="24"/>
    </row>
    <row r="95" spans="1:13" s="77" customFormat="1" ht="32.25" customHeight="1">
      <c r="A95" s="372"/>
      <c r="B95" s="472"/>
      <c r="C95" s="472"/>
      <c r="D95" s="4">
        <v>2022</v>
      </c>
      <c r="E95" s="25">
        <f t="shared" si="18"/>
        <v>35.1</v>
      </c>
      <c r="F95" s="27"/>
      <c r="G95" s="27">
        <f t="shared" si="19"/>
        <v>0</v>
      </c>
      <c r="H95" s="27"/>
      <c r="I95" s="27">
        <v>0</v>
      </c>
      <c r="J95" s="27">
        <v>35.1</v>
      </c>
      <c r="K95" s="35"/>
      <c r="L95" s="6" t="s">
        <v>3</v>
      </c>
      <c r="M95" s="24"/>
    </row>
    <row r="96" spans="1:13" s="77" customFormat="1" ht="24.75" customHeight="1">
      <c r="A96" s="372" t="s">
        <v>80</v>
      </c>
      <c r="B96" s="292" t="s">
        <v>81</v>
      </c>
      <c r="C96" s="293"/>
      <c r="D96" s="4">
        <v>2017</v>
      </c>
      <c r="E96" s="25">
        <f t="shared" si="18"/>
        <v>65.3997</v>
      </c>
      <c r="F96" s="27"/>
      <c r="G96" s="27">
        <f t="shared" si="19"/>
        <v>0</v>
      </c>
      <c r="H96" s="145"/>
      <c r="I96" s="27">
        <v>0</v>
      </c>
      <c r="J96" s="27">
        <f>70-4.6003</f>
        <v>65.3997</v>
      </c>
      <c r="K96" s="28"/>
      <c r="L96" s="6" t="s">
        <v>5</v>
      </c>
      <c r="M96" s="358" t="s">
        <v>54</v>
      </c>
    </row>
    <row r="97" spans="1:13" s="77" customFormat="1" ht="24.75" customHeight="1">
      <c r="A97" s="372"/>
      <c r="B97" s="519"/>
      <c r="C97" s="520"/>
      <c r="D97" s="4">
        <v>2018</v>
      </c>
      <c r="E97" s="25">
        <f t="shared" si="18"/>
        <v>60</v>
      </c>
      <c r="F97" s="27"/>
      <c r="G97" s="25">
        <f t="shared" si="19"/>
        <v>0</v>
      </c>
      <c r="H97" s="26"/>
      <c r="I97" s="27">
        <v>0</v>
      </c>
      <c r="J97" s="27">
        <v>60</v>
      </c>
      <c r="K97" s="28"/>
      <c r="L97" s="6" t="s">
        <v>5</v>
      </c>
      <c r="M97" s="358"/>
    </row>
    <row r="98" spans="1:13" s="77" customFormat="1" ht="24.75" customHeight="1">
      <c r="A98" s="372"/>
      <c r="B98" s="519"/>
      <c r="C98" s="520"/>
      <c r="D98" s="4">
        <v>2019</v>
      </c>
      <c r="E98" s="25">
        <f t="shared" si="18"/>
        <v>79</v>
      </c>
      <c r="F98" s="27"/>
      <c r="G98" s="25">
        <f t="shared" si="19"/>
        <v>0</v>
      </c>
      <c r="H98" s="26"/>
      <c r="I98" s="27">
        <v>0</v>
      </c>
      <c r="J98" s="27">
        <f>60+19</f>
        <v>79</v>
      </c>
      <c r="K98" s="28"/>
      <c r="L98" s="6" t="s">
        <v>5</v>
      </c>
      <c r="M98" s="358"/>
    </row>
    <row r="99" spans="1:13" s="77" customFormat="1" ht="24.75" customHeight="1">
      <c r="A99" s="372"/>
      <c r="B99" s="519"/>
      <c r="C99" s="520"/>
      <c r="D99" s="4">
        <v>2020</v>
      </c>
      <c r="E99" s="25">
        <f>F99+G99+J99+K99</f>
        <v>60</v>
      </c>
      <c r="F99" s="27"/>
      <c r="G99" s="25">
        <f>H99+I99</f>
        <v>0</v>
      </c>
      <c r="H99" s="26"/>
      <c r="I99" s="27">
        <v>0</v>
      </c>
      <c r="J99" s="27">
        <v>60</v>
      </c>
      <c r="K99" s="28"/>
      <c r="L99" s="6" t="s">
        <v>5</v>
      </c>
      <c r="M99" s="358"/>
    </row>
    <row r="100" spans="1:13" s="77" customFormat="1" ht="24.75" customHeight="1">
      <c r="A100" s="372"/>
      <c r="B100" s="519"/>
      <c r="C100" s="520"/>
      <c r="D100" s="4">
        <v>2021</v>
      </c>
      <c r="E100" s="25">
        <f>F100+G100+J100+K100</f>
        <v>60</v>
      </c>
      <c r="F100" s="27"/>
      <c r="G100" s="25">
        <f>H100+I100</f>
        <v>0</v>
      </c>
      <c r="H100" s="26"/>
      <c r="I100" s="27">
        <v>0</v>
      </c>
      <c r="J100" s="27">
        <v>60</v>
      </c>
      <c r="K100" s="28"/>
      <c r="L100" s="6"/>
      <c r="M100" s="358"/>
    </row>
    <row r="101" spans="1:13" s="77" customFormat="1" ht="24.75" customHeight="1">
      <c r="A101" s="372"/>
      <c r="B101" s="294"/>
      <c r="C101" s="295"/>
      <c r="D101" s="4">
        <v>2022</v>
      </c>
      <c r="E101" s="25">
        <f t="shared" si="18"/>
        <v>60</v>
      </c>
      <c r="F101" s="27"/>
      <c r="G101" s="25">
        <f t="shared" si="19"/>
        <v>0</v>
      </c>
      <c r="H101" s="26"/>
      <c r="I101" s="27">
        <v>0</v>
      </c>
      <c r="J101" s="27">
        <v>60</v>
      </c>
      <c r="K101" s="28"/>
      <c r="L101" s="6" t="s">
        <v>5</v>
      </c>
      <c r="M101" s="358"/>
    </row>
    <row r="102" spans="1:13" s="77" customFormat="1" ht="24.75" customHeight="1">
      <c r="A102" s="372" t="s">
        <v>82</v>
      </c>
      <c r="B102" s="358" t="s">
        <v>83</v>
      </c>
      <c r="C102" s="358"/>
      <c r="D102" s="410">
        <v>2017</v>
      </c>
      <c r="E102" s="414">
        <f>F102+G102+J102+K102</f>
        <v>27.52</v>
      </c>
      <c r="F102" s="428"/>
      <c r="G102" s="517">
        <f>H102+I102</f>
        <v>0</v>
      </c>
      <c r="H102" s="414"/>
      <c r="I102" s="428">
        <v>0</v>
      </c>
      <c r="J102" s="428">
        <v>27.52</v>
      </c>
      <c r="K102" s="515"/>
      <c r="L102" s="376" t="s">
        <v>4</v>
      </c>
      <c r="M102" s="358" t="s">
        <v>53</v>
      </c>
    </row>
    <row r="103" spans="1:13" s="77" customFormat="1" ht="4.5" customHeight="1">
      <c r="A103" s="372"/>
      <c r="B103" s="358"/>
      <c r="C103" s="358"/>
      <c r="D103" s="410"/>
      <c r="E103" s="414"/>
      <c r="F103" s="428"/>
      <c r="G103" s="518"/>
      <c r="H103" s="414"/>
      <c r="I103" s="428"/>
      <c r="J103" s="428"/>
      <c r="K103" s="516"/>
      <c r="L103" s="376"/>
      <c r="M103" s="358"/>
    </row>
    <row r="104" spans="1:13" s="77" customFormat="1" ht="24.75" customHeight="1">
      <c r="A104" s="372"/>
      <c r="B104" s="358"/>
      <c r="C104" s="358"/>
      <c r="D104" s="4">
        <v>2018</v>
      </c>
      <c r="E104" s="25">
        <f aca="true" t="shared" si="20" ref="E104:E114">F104+G104+J104+K104</f>
        <v>28.369999999999997</v>
      </c>
      <c r="F104" s="27"/>
      <c r="G104" s="27">
        <f aca="true" t="shared" si="21" ref="G104:G114">H104+I104</f>
        <v>0</v>
      </c>
      <c r="H104" s="26"/>
      <c r="I104" s="27">
        <v>0</v>
      </c>
      <c r="J104" s="27">
        <f>70-41.63</f>
        <v>28.369999999999997</v>
      </c>
      <c r="K104" s="28"/>
      <c r="L104" s="6" t="s">
        <v>4</v>
      </c>
      <c r="M104" s="358"/>
    </row>
    <row r="105" spans="1:13" s="77" customFormat="1" ht="24.75" customHeight="1">
      <c r="A105" s="372"/>
      <c r="B105" s="358"/>
      <c r="C105" s="358"/>
      <c r="D105" s="4">
        <v>2019</v>
      </c>
      <c r="E105" s="25">
        <f t="shared" si="20"/>
        <v>28.37</v>
      </c>
      <c r="F105" s="27"/>
      <c r="G105" s="27">
        <f t="shared" si="21"/>
        <v>0</v>
      </c>
      <c r="H105" s="26"/>
      <c r="I105" s="27">
        <v>0</v>
      </c>
      <c r="J105" s="27">
        <v>28.37</v>
      </c>
      <c r="K105" s="28"/>
      <c r="L105" s="6" t="s">
        <v>4</v>
      </c>
      <c r="M105" s="358"/>
    </row>
    <row r="106" spans="1:13" s="77" customFormat="1" ht="24.75" customHeight="1">
      <c r="A106" s="372"/>
      <c r="B106" s="358"/>
      <c r="C106" s="358"/>
      <c r="D106" s="4">
        <v>2020</v>
      </c>
      <c r="E106" s="25">
        <f t="shared" si="20"/>
        <v>28.37</v>
      </c>
      <c r="F106" s="27"/>
      <c r="G106" s="27">
        <f t="shared" si="21"/>
        <v>0</v>
      </c>
      <c r="H106" s="26"/>
      <c r="I106" s="27">
        <v>0</v>
      </c>
      <c r="J106" s="27">
        <v>28.37</v>
      </c>
      <c r="K106" s="28"/>
      <c r="L106" s="6" t="s">
        <v>4</v>
      </c>
      <c r="M106" s="358"/>
    </row>
    <row r="107" spans="1:13" s="77" customFormat="1" ht="24.75" customHeight="1">
      <c r="A107" s="372"/>
      <c r="B107" s="358"/>
      <c r="C107" s="358"/>
      <c r="D107" s="4">
        <v>2021</v>
      </c>
      <c r="E107" s="25">
        <f>F107+G107+J107+K107</f>
        <v>28.37</v>
      </c>
      <c r="F107" s="27"/>
      <c r="G107" s="27">
        <f>H107+I107</f>
        <v>0</v>
      </c>
      <c r="H107" s="26"/>
      <c r="I107" s="27">
        <v>0</v>
      </c>
      <c r="J107" s="27">
        <v>28.37</v>
      </c>
      <c r="K107" s="28"/>
      <c r="L107" s="6" t="s">
        <v>4</v>
      </c>
      <c r="M107" s="358"/>
    </row>
    <row r="108" spans="1:13" s="77" customFormat="1" ht="24.75" customHeight="1">
      <c r="A108" s="372"/>
      <c r="B108" s="358"/>
      <c r="C108" s="358"/>
      <c r="D108" s="4">
        <v>2022</v>
      </c>
      <c r="E108" s="25">
        <f t="shared" si="20"/>
        <v>28.37</v>
      </c>
      <c r="F108" s="27"/>
      <c r="G108" s="27">
        <f t="shared" si="21"/>
        <v>0</v>
      </c>
      <c r="H108" s="26"/>
      <c r="I108" s="27">
        <v>0</v>
      </c>
      <c r="J108" s="27">
        <v>28.37</v>
      </c>
      <c r="K108" s="28"/>
      <c r="L108" s="6" t="s">
        <v>4</v>
      </c>
      <c r="M108" s="358"/>
    </row>
    <row r="109" spans="1:13" s="77" customFormat="1" ht="24.75" customHeight="1">
      <c r="A109" s="372" t="s">
        <v>84</v>
      </c>
      <c r="B109" s="509" t="s">
        <v>172</v>
      </c>
      <c r="C109" s="510"/>
      <c r="D109" s="4">
        <v>2017</v>
      </c>
      <c r="E109" s="25">
        <f t="shared" si="20"/>
        <v>50</v>
      </c>
      <c r="F109" s="27"/>
      <c r="G109" s="27">
        <f t="shared" si="21"/>
        <v>50</v>
      </c>
      <c r="H109" s="37"/>
      <c r="I109" s="13">
        <v>50</v>
      </c>
      <c r="J109" s="27">
        <v>0</v>
      </c>
      <c r="K109" s="38"/>
      <c r="L109" s="6" t="s">
        <v>35</v>
      </c>
      <c r="M109" s="334" t="s">
        <v>52</v>
      </c>
    </row>
    <row r="110" spans="1:13" s="77" customFormat="1" ht="24.75" customHeight="1">
      <c r="A110" s="372"/>
      <c r="B110" s="511"/>
      <c r="C110" s="512"/>
      <c r="D110" s="4">
        <v>2018</v>
      </c>
      <c r="E110" s="25">
        <f t="shared" si="20"/>
        <v>0</v>
      </c>
      <c r="F110" s="27"/>
      <c r="G110" s="27">
        <f t="shared" si="21"/>
        <v>0</v>
      </c>
      <c r="H110" s="27"/>
      <c r="I110" s="27">
        <v>0</v>
      </c>
      <c r="J110" s="27">
        <v>0</v>
      </c>
      <c r="K110" s="38"/>
      <c r="L110" s="6"/>
      <c r="M110" s="335"/>
    </row>
    <row r="111" spans="1:13" s="77" customFormat="1" ht="24.75" customHeight="1">
      <c r="A111" s="372"/>
      <c r="B111" s="511"/>
      <c r="C111" s="512"/>
      <c r="D111" s="4">
        <v>2019</v>
      </c>
      <c r="E111" s="25">
        <f t="shared" si="20"/>
        <v>50</v>
      </c>
      <c r="F111" s="27"/>
      <c r="G111" s="27">
        <f t="shared" si="21"/>
        <v>50</v>
      </c>
      <c r="H111" s="27"/>
      <c r="I111" s="27">
        <v>50</v>
      </c>
      <c r="J111" s="27">
        <v>0</v>
      </c>
      <c r="K111" s="38"/>
      <c r="L111" s="6" t="s">
        <v>21</v>
      </c>
      <c r="M111" s="335"/>
    </row>
    <row r="112" spans="1:13" s="77" customFormat="1" ht="24.75" customHeight="1">
      <c r="A112" s="372"/>
      <c r="B112" s="511"/>
      <c r="C112" s="512"/>
      <c r="D112" s="4">
        <v>2020</v>
      </c>
      <c r="E112" s="25">
        <f>F112+G112+J112+K112</f>
        <v>0</v>
      </c>
      <c r="F112" s="27"/>
      <c r="G112" s="27">
        <f>H112+I112</f>
        <v>0</v>
      </c>
      <c r="H112" s="27"/>
      <c r="I112" s="27">
        <v>0</v>
      </c>
      <c r="J112" s="27">
        <v>0</v>
      </c>
      <c r="K112" s="38"/>
      <c r="L112" s="6"/>
      <c r="M112" s="335"/>
    </row>
    <row r="113" spans="1:13" s="77" customFormat="1" ht="24.75" customHeight="1">
      <c r="A113" s="372"/>
      <c r="B113" s="511"/>
      <c r="C113" s="512"/>
      <c r="D113" s="4">
        <v>2021</v>
      </c>
      <c r="E113" s="25">
        <f>F113+G113+J113+K113</f>
        <v>0</v>
      </c>
      <c r="F113" s="27"/>
      <c r="G113" s="27">
        <f>H113+I113</f>
        <v>0</v>
      </c>
      <c r="H113" s="27"/>
      <c r="I113" s="27">
        <v>0</v>
      </c>
      <c r="J113" s="27">
        <v>0</v>
      </c>
      <c r="K113" s="38"/>
      <c r="L113" s="6"/>
      <c r="M113" s="335"/>
    </row>
    <row r="114" spans="1:13" s="77" customFormat="1" ht="24.75" customHeight="1">
      <c r="A114" s="372"/>
      <c r="B114" s="513"/>
      <c r="C114" s="514"/>
      <c r="D114" s="4">
        <v>2022</v>
      </c>
      <c r="E114" s="25">
        <f t="shared" si="20"/>
        <v>0</v>
      </c>
      <c r="F114" s="27"/>
      <c r="G114" s="27">
        <f t="shared" si="21"/>
        <v>0</v>
      </c>
      <c r="H114" s="27"/>
      <c r="I114" s="27">
        <v>0</v>
      </c>
      <c r="J114" s="27">
        <v>0</v>
      </c>
      <c r="K114" s="38"/>
      <c r="L114" s="6"/>
      <c r="M114" s="336"/>
    </row>
    <row r="115" spans="1:13" s="77" customFormat="1" ht="24.75" customHeight="1">
      <c r="A115" s="296" t="s">
        <v>85</v>
      </c>
      <c r="B115" s="286" t="s">
        <v>86</v>
      </c>
      <c r="C115" s="287"/>
      <c r="D115" s="379">
        <v>2017</v>
      </c>
      <c r="E115" s="378">
        <f>F115+G115+J115+K115</f>
        <v>627.047</v>
      </c>
      <c r="F115" s="25"/>
      <c r="G115" s="25">
        <f aca="true" t="shared" si="22" ref="G115:G122">H115+I115</f>
        <v>0</v>
      </c>
      <c r="H115" s="14">
        <f>H116+H117+H118+H119+H120+H121</f>
        <v>0</v>
      </c>
      <c r="I115" s="25">
        <f>I116+I117+I118+I119+I120+I121</f>
        <v>0</v>
      </c>
      <c r="J115" s="25">
        <f>J116+J117+J118+J119+J120+J121</f>
        <v>627.047</v>
      </c>
      <c r="K115" s="25">
        <f>K116+K117+K118+K119+K120+K121</f>
        <v>0</v>
      </c>
      <c r="L115" s="6"/>
      <c r="M115" s="358" t="s">
        <v>67</v>
      </c>
    </row>
    <row r="116" spans="1:13" s="77" customFormat="1" ht="27" customHeight="1">
      <c r="A116" s="297"/>
      <c r="B116" s="288"/>
      <c r="C116" s="289"/>
      <c r="D116" s="379"/>
      <c r="E116" s="378"/>
      <c r="F116" s="25"/>
      <c r="G116" s="25">
        <f t="shared" si="22"/>
        <v>0</v>
      </c>
      <c r="H116" s="25"/>
      <c r="I116" s="27"/>
      <c r="J116" s="27">
        <f>50+13.94</f>
        <v>63.94</v>
      </c>
      <c r="K116" s="28"/>
      <c r="L116" s="6" t="s">
        <v>175</v>
      </c>
      <c r="M116" s="358"/>
    </row>
    <row r="117" spans="1:13" s="77" customFormat="1" ht="24.75" customHeight="1">
      <c r="A117" s="297"/>
      <c r="B117" s="288"/>
      <c r="C117" s="289"/>
      <c r="D117" s="379"/>
      <c r="E117" s="378"/>
      <c r="F117" s="25"/>
      <c r="G117" s="25">
        <f t="shared" si="22"/>
        <v>0</v>
      </c>
      <c r="H117" s="26"/>
      <c r="I117" s="27"/>
      <c r="J117" s="27">
        <v>113.23</v>
      </c>
      <c r="K117" s="28"/>
      <c r="L117" s="6" t="s">
        <v>15</v>
      </c>
      <c r="M117" s="358"/>
    </row>
    <row r="118" spans="1:13" s="77" customFormat="1" ht="24.75" customHeight="1">
      <c r="A118" s="297"/>
      <c r="B118" s="288"/>
      <c r="C118" s="289"/>
      <c r="D118" s="379"/>
      <c r="E118" s="378"/>
      <c r="F118" s="25"/>
      <c r="G118" s="25">
        <f t="shared" si="22"/>
        <v>0</v>
      </c>
      <c r="H118" s="26"/>
      <c r="I118" s="27"/>
      <c r="J118" s="27">
        <v>205.427</v>
      </c>
      <c r="K118" s="28"/>
      <c r="L118" s="6" t="s">
        <v>23</v>
      </c>
      <c r="M118" s="358"/>
    </row>
    <row r="119" spans="1:13" s="77" customFormat="1" ht="24.75" customHeight="1">
      <c r="A119" s="297"/>
      <c r="B119" s="288"/>
      <c r="C119" s="289"/>
      <c r="D119" s="379"/>
      <c r="E119" s="378"/>
      <c r="F119" s="25"/>
      <c r="G119" s="25">
        <f t="shared" si="22"/>
        <v>0</v>
      </c>
      <c r="H119" s="26"/>
      <c r="I119" s="27"/>
      <c r="J119" s="27">
        <v>13.23</v>
      </c>
      <c r="K119" s="28"/>
      <c r="L119" s="6" t="s">
        <v>12</v>
      </c>
      <c r="M119" s="358"/>
    </row>
    <row r="120" spans="1:13" s="77" customFormat="1" ht="24.75" customHeight="1">
      <c r="A120" s="297"/>
      <c r="B120" s="288"/>
      <c r="C120" s="289"/>
      <c r="D120" s="379"/>
      <c r="E120" s="378"/>
      <c r="F120" s="25"/>
      <c r="G120" s="25">
        <f t="shared" si="22"/>
        <v>0</v>
      </c>
      <c r="H120" s="26"/>
      <c r="I120" s="27"/>
      <c r="J120" s="27">
        <v>161.09</v>
      </c>
      <c r="K120" s="28"/>
      <c r="L120" s="6" t="s">
        <v>24</v>
      </c>
      <c r="M120" s="358"/>
    </row>
    <row r="121" spans="1:13" s="77" customFormat="1" ht="24.75" customHeight="1">
      <c r="A121" s="297"/>
      <c r="B121" s="288"/>
      <c r="C121" s="289"/>
      <c r="D121" s="379"/>
      <c r="E121" s="378"/>
      <c r="F121" s="25"/>
      <c r="G121" s="25">
        <f t="shared" si="22"/>
        <v>0</v>
      </c>
      <c r="H121" s="26"/>
      <c r="I121" s="27"/>
      <c r="J121" s="27">
        <f>15.18+18+36.45+0.5</f>
        <v>70.13</v>
      </c>
      <c r="K121" s="28"/>
      <c r="L121" s="6" t="s">
        <v>25</v>
      </c>
      <c r="M121" s="358"/>
    </row>
    <row r="122" spans="1:13" s="77" customFormat="1" ht="24.75" customHeight="1">
      <c r="A122" s="297"/>
      <c r="B122" s="288"/>
      <c r="C122" s="289"/>
      <c r="D122" s="379">
        <v>2018</v>
      </c>
      <c r="E122" s="378">
        <f>F122+G122+J122+K122</f>
        <v>2781.9159799999998</v>
      </c>
      <c r="F122" s="11"/>
      <c r="G122" s="11">
        <f t="shared" si="22"/>
        <v>0</v>
      </c>
      <c r="H122" s="11">
        <f>H123+H124+H125+H126+H127+H128+H129</f>
        <v>0</v>
      </c>
      <c r="I122" s="11">
        <f>I123+I124+I125+I126+I127+I128+I129</f>
        <v>0</v>
      </c>
      <c r="J122" s="11">
        <f>J123+J124+J125+J126+J127+J128+J129</f>
        <v>2781.9159799999998</v>
      </c>
      <c r="K122" s="11">
        <f>K123+K124+K125+K126+K127+K128+K129</f>
        <v>0</v>
      </c>
      <c r="L122" s="6"/>
      <c r="M122" s="358"/>
    </row>
    <row r="123" spans="1:13" s="77" customFormat="1" ht="26.25" customHeight="1">
      <c r="A123" s="297"/>
      <c r="B123" s="288"/>
      <c r="C123" s="289"/>
      <c r="D123" s="379"/>
      <c r="E123" s="378"/>
      <c r="F123" s="11"/>
      <c r="G123" s="2">
        <f aca="true" t="shared" si="23" ref="G123:G140">H123+I123</f>
        <v>0</v>
      </c>
      <c r="H123" s="11"/>
      <c r="I123" s="2"/>
      <c r="J123" s="2">
        <v>0</v>
      </c>
      <c r="K123" s="12"/>
      <c r="L123" s="6" t="s">
        <v>175</v>
      </c>
      <c r="M123" s="358"/>
    </row>
    <row r="124" spans="1:13" s="77" customFormat="1" ht="24.75" customHeight="1">
      <c r="A124" s="297"/>
      <c r="B124" s="288"/>
      <c r="C124" s="289"/>
      <c r="D124" s="379"/>
      <c r="E124" s="378"/>
      <c r="F124" s="11"/>
      <c r="G124" s="2">
        <f t="shared" si="23"/>
        <v>0</v>
      </c>
      <c r="H124" s="11"/>
      <c r="I124" s="2"/>
      <c r="J124" s="2">
        <f>12.64+1186-181.18-36.69771</f>
        <v>980.76229</v>
      </c>
      <c r="K124" s="12"/>
      <c r="L124" s="6" t="s">
        <v>15</v>
      </c>
      <c r="M124" s="358"/>
    </row>
    <row r="125" spans="1:13" s="77" customFormat="1" ht="24.75" customHeight="1">
      <c r="A125" s="297"/>
      <c r="B125" s="288"/>
      <c r="C125" s="289"/>
      <c r="D125" s="379"/>
      <c r="E125" s="378"/>
      <c r="F125" s="11"/>
      <c r="G125" s="2">
        <f t="shared" si="23"/>
        <v>0</v>
      </c>
      <c r="H125" s="11"/>
      <c r="I125" s="2"/>
      <c r="J125" s="2">
        <f>12.64+445+788.79-277.21131</f>
        <v>969.2186899999998</v>
      </c>
      <c r="K125" s="12"/>
      <c r="L125" s="6" t="s">
        <v>23</v>
      </c>
      <c r="M125" s="358"/>
    </row>
    <row r="126" spans="1:13" s="77" customFormat="1" ht="24.75" customHeight="1">
      <c r="A126" s="297"/>
      <c r="B126" s="288"/>
      <c r="C126" s="289"/>
      <c r="D126" s="379"/>
      <c r="E126" s="378"/>
      <c r="F126" s="11"/>
      <c r="G126" s="2">
        <f t="shared" si="23"/>
        <v>0</v>
      </c>
      <c r="H126" s="11"/>
      <c r="I126" s="2"/>
      <c r="J126" s="2">
        <f>12.64+437.6-55.429</f>
        <v>394.81100000000004</v>
      </c>
      <c r="K126" s="12"/>
      <c r="L126" s="6" t="s">
        <v>12</v>
      </c>
      <c r="M126" s="358"/>
    </row>
    <row r="127" spans="1:13" s="77" customFormat="1" ht="24.75" customHeight="1">
      <c r="A127" s="297"/>
      <c r="B127" s="288"/>
      <c r="C127" s="289"/>
      <c r="D127" s="379"/>
      <c r="E127" s="378"/>
      <c r="F127" s="11"/>
      <c r="G127" s="2">
        <f t="shared" si="23"/>
        <v>0</v>
      </c>
      <c r="H127" s="11"/>
      <c r="I127" s="2"/>
      <c r="J127" s="2">
        <f>30.36+107+120+26.184</f>
        <v>283.54400000000004</v>
      </c>
      <c r="K127" s="12"/>
      <c r="L127" s="6" t="s">
        <v>24</v>
      </c>
      <c r="M127" s="358"/>
    </row>
    <row r="128" spans="1:13" s="77" customFormat="1" ht="24.75" customHeight="1">
      <c r="A128" s="297"/>
      <c r="B128" s="288"/>
      <c r="C128" s="289"/>
      <c r="D128" s="379"/>
      <c r="E128" s="378"/>
      <c r="F128" s="11"/>
      <c r="G128" s="2">
        <f t="shared" si="23"/>
        <v>0</v>
      </c>
      <c r="H128" s="11"/>
      <c r="I128" s="2"/>
      <c r="J128" s="2">
        <f>15.18+165-26.6</f>
        <v>153.58</v>
      </c>
      <c r="K128" s="12"/>
      <c r="L128" s="6" t="s">
        <v>25</v>
      </c>
      <c r="M128" s="358"/>
    </row>
    <row r="129" spans="1:13" s="77" customFormat="1" ht="24.75" customHeight="1">
      <c r="A129" s="297"/>
      <c r="B129" s="288"/>
      <c r="C129" s="289"/>
      <c r="D129" s="379"/>
      <c r="E129" s="378"/>
      <c r="F129" s="11"/>
      <c r="G129" s="2">
        <f t="shared" si="23"/>
        <v>0</v>
      </c>
      <c r="H129" s="11"/>
      <c r="I129" s="2"/>
      <c r="J129" s="2">
        <v>0</v>
      </c>
      <c r="K129" s="12"/>
      <c r="L129" s="6" t="s">
        <v>48</v>
      </c>
      <c r="M129" s="358"/>
    </row>
    <row r="130" spans="1:13" s="77" customFormat="1" ht="24.75" customHeight="1">
      <c r="A130" s="297"/>
      <c r="B130" s="288"/>
      <c r="C130" s="289"/>
      <c r="D130" s="379">
        <v>2019</v>
      </c>
      <c r="E130" s="378">
        <f>F130+G130+J130+K130</f>
        <v>387.68000000000006</v>
      </c>
      <c r="F130" s="11">
        <f aca="true" t="shared" si="24" ref="F130:K130">SUM(F131:F137)</f>
        <v>0</v>
      </c>
      <c r="G130" s="11">
        <f t="shared" si="24"/>
        <v>0</v>
      </c>
      <c r="H130" s="11">
        <f t="shared" si="24"/>
        <v>0</v>
      </c>
      <c r="I130" s="11">
        <f t="shared" si="24"/>
        <v>0</v>
      </c>
      <c r="J130" s="11">
        <f t="shared" si="24"/>
        <v>387.68000000000006</v>
      </c>
      <c r="K130" s="11">
        <f t="shared" si="24"/>
        <v>0</v>
      </c>
      <c r="L130" s="6"/>
      <c r="M130" s="358"/>
    </row>
    <row r="131" spans="1:13" s="77" customFormat="1" ht="24.75" customHeight="1">
      <c r="A131" s="297"/>
      <c r="B131" s="288"/>
      <c r="C131" s="289"/>
      <c r="D131" s="379"/>
      <c r="E131" s="378"/>
      <c r="F131" s="11"/>
      <c r="G131" s="2">
        <f aca="true" t="shared" si="25" ref="G131:G137">H131+I131</f>
        <v>0</v>
      </c>
      <c r="H131" s="11"/>
      <c r="I131" s="2"/>
      <c r="J131" s="2">
        <v>0</v>
      </c>
      <c r="K131" s="12"/>
      <c r="L131" s="6" t="s">
        <v>175</v>
      </c>
      <c r="M131" s="358"/>
    </row>
    <row r="132" spans="1:13" s="77" customFormat="1" ht="24.75" customHeight="1">
      <c r="A132" s="297"/>
      <c r="B132" s="288"/>
      <c r="C132" s="289"/>
      <c r="D132" s="379"/>
      <c r="E132" s="378"/>
      <c r="F132" s="11"/>
      <c r="G132" s="2">
        <f t="shared" si="25"/>
        <v>0</v>
      </c>
      <c r="H132" s="11"/>
      <c r="I132" s="2"/>
      <c r="J132" s="2">
        <v>12.64</v>
      </c>
      <c r="K132" s="12"/>
      <c r="L132" s="6" t="s">
        <v>15</v>
      </c>
      <c r="M132" s="358"/>
    </row>
    <row r="133" spans="1:13" s="77" customFormat="1" ht="24.75" customHeight="1">
      <c r="A133" s="297"/>
      <c r="B133" s="288"/>
      <c r="C133" s="289"/>
      <c r="D133" s="379"/>
      <c r="E133" s="378"/>
      <c r="F133" s="11"/>
      <c r="G133" s="2">
        <f t="shared" si="25"/>
        <v>0</v>
      </c>
      <c r="H133" s="11"/>
      <c r="I133" s="2"/>
      <c r="J133" s="2">
        <v>12.64</v>
      </c>
      <c r="K133" s="12"/>
      <c r="L133" s="6" t="s">
        <v>23</v>
      </c>
      <c r="M133" s="358"/>
    </row>
    <row r="134" spans="1:13" s="77" customFormat="1" ht="24.75" customHeight="1">
      <c r="A134" s="297"/>
      <c r="B134" s="288"/>
      <c r="C134" s="289"/>
      <c r="D134" s="379"/>
      <c r="E134" s="378"/>
      <c r="F134" s="11"/>
      <c r="G134" s="2">
        <f t="shared" si="25"/>
        <v>0</v>
      </c>
      <c r="H134" s="11"/>
      <c r="I134" s="2"/>
      <c r="J134" s="2">
        <f>12.64+100</f>
        <v>112.64</v>
      </c>
      <c r="K134" s="12"/>
      <c r="L134" s="6" t="s">
        <v>12</v>
      </c>
      <c r="M134" s="358"/>
    </row>
    <row r="135" spans="1:13" s="77" customFormat="1" ht="24.75" customHeight="1">
      <c r="A135" s="297"/>
      <c r="B135" s="288"/>
      <c r="C135" s="289"/>
      <c r="D135" s="379"/>
      <c r="E135" s="378"/>
      <c r="F135" s="11"/>
      <c r="G135" s="2">
        <f t="shared" si="25"/>
        <v>0</v>
      </c>
      <c r="H135" s="11"/>
      <c r="I135" s="2"/>
      <c r="J135" s="2">
        <v>0</v>
      </c>
      <c r="K135" s="12"/>
      <c r="L135" s="6" t="s">
        <v>180</v>
      </c>
      <c r="M135" s="358"/>
    </row>
    <row r="136" spans="1:13" s="77" customFormat="1" ht="24.75" customHeight="1">
      <c r="A136" s="297"/>
      <c r="B136" s="288"/>
      <c r="C136" s="289"/>
      <c r="D136" s="379"/>
      <c r="E136" s="378"/>
      <c r="F136" s="11"/>
      <c r="G136" s="2">
        <f t="shared" si="25"/>
        <v>0</v>
      </c>
      <c r="H136" s="11"/>
      <c r="I136" s="2"/>
      <c r="J136" s="2">
        <f>30.36+100</f>
        <v>130.36</v>
      </c>
      <c r="K136" s="12"/>
      <c r="L136" s="6" t="s">
        <v>24</v>
      </c>
      <c r="M136" s="358"/>
    </row>
    <row r="137" spans="1:13" s="77" customFormat="1" ht="24.75" customHeight="1" thickBot="1">
      <c r="A137" s="297"/>
      <c r="B137" s="288"/>
      <c r="C137" s="289"/>
      <c r="D137" s="379"/>
      <c r="E137" s="378"/>
      <c r="F137" s="133"/>
      <c r="G137" s="58">
        <f t="shared" si="25"/>
        <v>0</v>
      </c>
      <c r="H137" s="133"/>
      <c r="I137" s="58"/>
      <c r="J137" s="58">
        <f>15.18+16.731+100-12.511</f>
        <v>119.4</v>
      </c>
      <c r="K137" s="134"/>
      <c r="L137" s="6" t="s">
        <v>25</v>
      </c>
      <c r="M137" s="358"/>
    </row>
    <row r="138" spans="1:13" s="77" customFormat="1" ht="26.25" customHeight="1" thickBot="1">
      <c r="A138" s="297"/>
      <c r="B138" s="288"/>
      <c r="C138" s="289"/>
      <c r="D138" s="379">
        <v>2020</v>
      </c>
      <c r="E138" s="377">
        <f>F138+G138+J138+K138</f>
        <v>155.12</v>
      </c>
      <c r="F138" s="137">
        <f aca="true" t="shared" si="26" ref="F138:K138">SUM(F140:F145)</f>
        <v>0</v>
      </c>
      <c r="G138" s="142">
        <f t="shared" si="26"/>
        <v>0</v>
      </c>
      <c r="H138" s="142">
        <f t="shared" si="26"/>
        <v>0</v>
      </c>
      <c r="I138" s="142">
        <f t="shared" si="26"/>
        <v>0</v>
      </c>
      <c r="J138" s="142">
        <f t="shared" si="26"/>
        <v>155.12</v>
      </c>
      <c r="K138" s="144">
        <f t="shared" si="26"/>
        <v>0</v>
      </c>
      <c r="L138" s="221"/>
      <c r="M138" s="358"/>
    </row>
    <row r="139" spans="1:13" s="77" customFormat="1" ht="21.75" customHeight="1">
      <c r="A139" s="297"/>
      <c r="B139" s="288"/>
      <c r="C139" s="289"/>
      <c r="D139" s="379"/>
      <c r="E139" s="378"/>
      <c r="F139" s="70"/>
      <c r="G139" s="135">
        <f t="shared" si="23"/>
        <v>0</v>
      </c>
      <c r="H139" s="70"/>
      <c r="I139" s="135"/>
      <c r="J139" s="135">
        <v>0</v>
      </c>
      <c r="K139" s="136"/>
      <c r="L139" s="6" t="s">
        <v>175</v>
      </c>
      <c r="M139" s="358"/>
    </row>
    <row r="140" spans="1:13" s="77" customFormat="1" ht="24.75" customHeight="1">
      <c r="A140" s="297"/>
      <c r="B140" s="288"/>
      <c r="C140" s="289"/>
      <c r="D140" s="379"/>
      <c r="E140" s="378"/>
      <c r="F140" s="11"/>
      <c r="G140" s="2">
        <f t="shared" si="23"/>
        <v>0</v>
      </c>
      <c r="H140" s="11"/>
      <c r="I140" s="2"/>
      <c r="J140" s="2">
        <v>29.64</v>
      </c>
      <c r="K140" s="12"/>
      <c r="L140" s="6" t="s">
        <v>15</v>
      </c>
      <c r="M140" s="358"/>
    </row>
    <row r="141" spans="1:13" s="77" customFormat="1" ht="24.75" customHeight="1">
      <c r="A141" s="297"/>
      <c r="B141" s="288"/>
      <c r="C141" s="289"/>
      <c r="D141" s="379"/>
      <c r="E141" s="378"/>
      <c r="F141" s="11"/>
      <c r="G141" s="2">
        <f>H141+I141</f>
        <v>0</v>
      </c>
      <c r="H141" s="11"/>
      <c r="I141" s="2"/>
      <c r="J141" s="2">
        <v>29.64</v>
      </c>
      <c r="K141" s="12"/>
      <c r="L141" s="6" t="s">
        <v>23</v>
      </c>
      <c r="M141" s="358"/>
    </row>
    <row r="142" spans="1:13" s="77" customFormat="1" ht="24.75" customHeight="1">
      <c r="A142" s="297"/>
      <c r="B142" s="288"/>
      <c r="C142" s="289"/>
      <c r="D142" s="379"/>
      <c r="E142" s="378"/>
      <c r="F142" s="11"/>
      <c r="G142" s="2">
        <f>H142+I142</f>
        <v>0</v>
      </c>
      <c r="H142" s="11"/>
      <c r="I142" s="2"/>
      <c r="J142" s="2">
        <v>29.64</v>
      </c>
      <c r="K142" s="12"/>
      <c r="L142" s="6" t="s">
        <v>12</v>
      </c>
      <c r="M142" s="358"/>
    </row>
    <row r="143" spans="1:13" s="77" customFormat="1" ht="24.75" customHeight="1">
      <c r="A143" s="297"/>
      <c r="B143" s="288"/>
      <c r="C143" s="289"/>
      <c r="D143" s="379"/>
      <c r="E143" s="378"/>
      <c r="F143" s="11"/>
      <c r="G143" s="2">
        <f>H143+I143</f>
        <v>0</v>
      </c>
      <c r="H143" s="11"/>
      <c r="I143" s="2"/>
      <c r="J143" s="2">
        <v>0</v>
      </c>
      <c r="K143" s="12"/>
      <c r="L143" s="6" t="s">
        <v>180</v>
      </c>
      <c r="M143" s="358"/>
    </row>
    <row r="144" spans="1:13" s="77" customFormat="1" ht="24.75" customHeight="1">
      <c r="A144" s="297"/>
      <c r="B144" s="288"/>
      <c r="C144" s="289"/>
      <c r="D144" s="379"/>
      <c r="E144" s="378"/>
      <c r="F144" s="11"/>
      <c r="G144" s="2">
        <f>H144+I144</f>
        <v>0</v>
      </c>
      <c r="H144" s="11"/>
      <c r="I144" s="2"/>
      <c r="J144" s="2">
        <v>33.6</v>
      </c>
      <c r="K144" s="12"/>
      <c r="L144" s="6" t="s">
        <v>24</v>
      </c>
      <c r="M144" s="358"/>
    </row>
    <row r="145" spans="1:13" s="77" customFormat="1" ht="24.75" customHeight="1" thickBot="1">
      <c r="A145" s="297"/>
      <c r="B145" s="288"/>
      <c r="C145" s="289"/>
      <c r="D145" s="379"/>
      <c r="E145" s="378"/>
      <c r="F145" s="133"/>
      <c r="G145" s="58">
        <f>H145+I145</f>
        <v>0</v>
      </c>
      <c r="H145" s="133"/>
      <c r="I145" s="58"/>
      <c r="J145" s="58">
        <v>32.6</v>
      </c>
      <c r="K145" s="134"/>
      <c r="L145" s="124" t="s">
        <v>25</v>
      </c>
      <c r="M145" s="358"/>
    </row>
    <row r="146" spans="1:13" s="77" customFormat="1" ht="24.75" customHeight="1" thickBot="1">
      <c r="A146" s="297"/>
      <c r="B146" s="288"/>
      <c r="C146" s="289"/>
      <c r="D146" s="379">
        <v>2021</v>
      </c>
      <c r="E146" s="377">
        <f>F146+G146+J146+K146</f>
        <v>155.12</v>
      </c>
      <c r="F146" s="142">
        <f>SUM(F147:F153)</f>
        <v>0</v>
      </c>
      <c r="G146" s="142">
        <f>SUM(G147:G153)</f>
        <v>0</v>
      </c>
      <c r="H146" s="142">
        <f>SUM(H147:H153)</f>
        <v>0</v>
      </c>
      <c r="I146" s="142">
        <f>SUM(I147:I153)</f>
        <v>0</v>
      </c>
      <c r="J146" s="142">
        <f>SUM(J147:J153)</f>
        <v>155.12</v>
      </c>
      <c r="K146" s="143"/>
      <c r="L146" s="222"/>
      <c r="M146" s="521"/>
    </row>
    <row r="147" spans="1:13" s="77" customFormat="1" ht="24.75" customHeight="1">
      <c r="A147" s="297"/>
      <c r="B147" s="288"/>
      <c r="C147" s="289"/>
      <c r="D147" s="379"/>
      <c r="E147" s="378"/>
      <c r="F147" s="70"/>
      <c r="G147" s="135"/>
      <c r="H147" s="70"/>
      <c r="I147" s="135"/>
      <c r="J147" s="135">
        <v>0</v>
      </c>
      <c r="K147" s="136"/>
      <c r="L147" s="125" t="s">
        <v>175</v>
      </c>
      <c r="M147" s="358"/>
    </row>
    <row r="148" spans="1:13" s="77" customFormat="1" ht="24.75" customHeight="1">
      <c r="A148" s="297"/>
      <c r="B148" s="288"/>
      <c r="C148" s="289"/>
      <c r="D148" s="379"/>
      <c r="E148" s="378"/>
      <c r="F148" s="11"/>
      <c r="G148" s="2"/>
      <c r="H148" s="11"/>
      <c r="I148" s="2"/>
      <c r="J148" s="2">
        <v>29.64</v>
      </c>
      <c r="K148" s="12"/>
      <c r="L148" s="6" t="s">
        <v>15</v>
      </c>
      <c r="M148" s="358"/>
    </row>
    <row r="149" spans="1:13" s="77" customFormat="1" ht="24.75" customHeight="1">
      <c r="A149" s="297"/>
      <c r="B149" s="288"/>
      <c r="C149" s="289"/>
      <c r="D149" s="379"/>
      <c r="E149" s="378"/>
      <c r="F149" s="11"/>
      <c r="G149" s="2"/>
      <c r="H149" s="11"/>
      <c r="I149" s="2"/>
      <c r="J149" s="2">
        <v>29.64</v>
      </c>
      <c r="K149" s="12"/>
      <c r="L149" s="6" t="s">
        <v>23</v>
      </c>
      <c r="M149" s="358"/>
    </row>
    <row r="150" spans="1:13" s="77" customFormat="1" ht="24.75" customHeight="1">
      <c r="A150" s="297"/>
      <c r="B150" s="288"/>
      <c r="C150" s="289"/>
      <c r="D150" s="379"/>
      <c r="E150" s="378"/>
      <c r="F150" s="11"/>
      <c r="G150" s="2"/>
      <c r="H150" s="11"/>
      <c r="I150" s="2"/>
      <c r="J150" s="2">
        <v>29.64</v>
      </c>
      <c r="K150" s="12"/>
      <c r="L150" s="6" t="s">
        <v>12</v>
      </c>
      <c r="M150" s="358"/>
    </row>
    <row r="151" spans="1:13" s="77" customFormat="1" ht="24.75" customHeight="1">
      <c r="A151" s="297"/>
      <c r="B151" s="288"/>
      <c r="C151" s="289"/>
      <c r="D151" s="379"/>
      <c r="E151" s="378"/>
      <c r="F151" s="2"/>
      <c r="G151" s="2"/>
      <c r="H151" s="11"/>
      <c r="I151" s="2"/>
      <c r="J151" s="2">
        <v>0</v>
      </c>
      <c r="K151" s="12"/>
      <c r="L151" s="6" t="s">
        <v>180</v>
      </c>
      <c r="M151" s="358"/>
    </row>
    <row r="152" spans="1:13" s="77" customFormat="1" ht="24.75" customHeight="1">
      <c r="A152" s="297"/>
      <c r="B152" s="288"/>
      <c r="C152" s="289"/>
      <c r="D152" s="379"/>
      <c r="E152" s="378"/>
      <c r="F152" s="11"/>
      <c r="G152" s="2"/>
      <c r="H152" s="11"/>
      <c r="I152" s="2"/>
      <c r="J152" s="2">
        <v>33.6</v>
      </c>
      <c r="K152" s="12"/>
      <c r="L152" s="6" t="s">
        <v>24</v>
      </c>
      <c r="M152" s="358"/>
    </row>
    <row r="153" spans="1:13" s="77" customFormat="1" ht="24.75" customHeight="1" thickBot="1">
      <c r="A153" s="297"/>
      <c r="B153" s="288"/>
      <c r="C153" s="289"/>
      <c r="D153" s="379"/>
      <c r="E153" s="378"/>
      <c r="F153" s="133"/>
      <c r="G153" s="58"/>
      <c r="H153" s="133"/>
      <c r="I153" s="58"/>
      <c r="J153" s="58">
        <v>32.6</v>
      </c>
      <c r="K153" s="134"/>
      <c r="L153" s="124" t="s">
        <v>25</v>
      </c>
      <c r="M153" s="358"/>
    </row>
    <row r="154" spans="1:13" s="77" customFormat="1" ht="24.75" customHeight="1" thickBot="1">
      <c r="A154" s="297"/>
      <c r="B154" s="288"/>
      <c r="C154" s="289"/>
      <c r="D154" s="480">
        <v>2022</v>
      </c>
      <c r="E154" s="377">
        <f>F154+G154+J154+K154</f>
        <v>155.12</v>
      </c>
      <c r="F154" s="142">
        <f>SUM(F155:F161)</f>
        <v>0</v>
      </c>
      <c r="G154" s="142">
        <f>SUM(G155:G161)</f>
        <v>0</v>
      </c>
      <c r="H154" s="142">
        <f>SUM(H155:H161)</f>
        <v>0</v>
      </c>
      <c r="I154" s="142">
        <f>SUM(I155:I161)</f>
        <v>0</v>
      </c>
      <c r="J154" s="142">
        <f>SUM(J155:J161)</f>
        <v>155.12</v>
      </c>
      <c r="K154" s="143"/>
      <c r="L154" s="222"/>
      <c r="M154" s="521"/>
    </row>
    <row r="155" spans="1:13" s="77" customFormat="1" ht="24.75" customHeight="1">
      <c r="A155" s="297"/>
      <c r="B155" s="288"/>
      <c r="C155" s="289"/>
      <c r="D155" s="491"/>
      <c r="E155" s="378"/>
      <c r="F155" s="70"/>
      <c r="G155" s="135"/>
      <c r="H155" s="70"/>
      <c r="I155" s="135"/>
      <c r="J155" s="135">
        <v>0</v>
      </c>
      <c r="K155" s="136"/>
      <c r="L155" s="125" t="s">
        <v>175</v>
      </c>
      <c r="M155" s="358"/>
    </row>
    <row r="156" spans="1:13" s="77" customFormat="1" ht="24.75" customHeight="1">
      <c r="A156" s="297"/>
      <c r="B156" s="288"/>
      <c r="C156" s="289"/>
      <c r="D156" s="491"/>
      <c r="E156" s="378"/>
      <c r="F156" s="11"/>
      <c r="G156" s="2"/>
      <c r="H156" s="11"/>
      <c r="I156" s="2"/>
      <c r="J156" s="2">
        <v>29.64</v>
      </c>
      <c r="K156" s="12"/>
      <c r="L156" s="6" t="s">
        <v>15</v>
      </c>
      <c r="M156" s="358"/>
    </row>
    <row r="157" spans="1:13" s="77" customFormat="1" ht="24.75" customHeight="1">
      <c r="A157" s="297"/>
      <c r="B157" s="288"/>
      <c r="C157" s="289"/>
      <c r="D157" s="491"/>
      <c r="E157" s="378"/>
      <c r="F157" s="11"/>
      <c r="G157" s="2"/>
      <c r="H157" s="11"/>
      <c r="I157" s="2"/>
      <c r="J157" s="2">
        <v>29.64</v>
      </c>
      <c r="K157" s="12"/>
      <c r="L157" s="6" t="s">
        <v>23</v>
      </c>
      <c r="M157" s="358"/>
    </row>
    <row r="158" spans="1:13" s="77" customFormat="1" ht="24.75" customHeight="1">
      <c r="A158" s="297"/>
      <c r="B158" s="288"/>
      <c r="C158" s="289"/>
      <c r="D158" s="491"/>
      <c r="E158" s="378"/>
      <c r="F158" s="11"/>
      <c r="G158" s="2"/>
      <c r="H158" s="11"/>
      <c r="I158" s="2"/>
      <c r="J158" s="2">
        <v>29.64</v>
      </c>
      <c r="K158" s="12"/>
      <c r="L158" s="6" t="s">
        <v>12</v>
      </c>
      <c r="M158" s="358"/>
    </row>
    <row r="159" spans="1:13" s="77" customFormat="1" ht="24.75" customHeight="1">
      <c r="A159" s="297"/>
      <c r="B159" s="288"/>
      <c r="C159" s="289"/>
      <c r="D159" s="491"/>
      <c r="E159" s="378"/>
      <c r="F159" s="11"/>
      <c r="G159" s="2"/>
      <c r="H159" s="11"/>
      <c r="I159" s="2"/>
      <c r="J159" s="2">
        <v>0</v>
      </c>
      <c r="K159" s="12"/>
      <c r="L159" s="6" t="s">
        <v>180</v>
      </c>
      <c r="M159" s="358"/>
    </row>
    <row r="160" spans="1:13" s="77" customFormat="1" ht="24.75" customHeight="1">
      <c r="A160" s="297"/>
      <c r="B160" s="288"/>
      <c r="C160" s="289"/>
      <c r="D160" s="491"/>
      <c r="E160" s="378"/>
      <c r="F160" s="11"/>
      <c r="G160" s="2"/>
      <c r="H160" s="11"/>
      <c r="I160" s="2"/>
      <c r="J160" s="2">
        <v>33.6</v>
      </c>
      <c r="K160" s="12"/>
      <c r="L160" s="6" t="s">
        <v>24</v>
      </c>
      <c r="M160" s="358"/>
    </row>
    <row r="161" spans="1:13" s="77" customFormat="1" ht="24.75" customHeight="1" thickBot="1">
      <c r="A161" s="297"/>
      <c r="B161" s="290"/>
      <c r="C161" s="291"/>
      <c r="D161" s="492"/>
      <c r="E161" s="378"/>
      <c r="F161" s="133"/>
      <c r="G161" s="58"/>
      <c r="H161" s="133"/>
      <c r="I161" s="58"/>
      <c r="J161" s="58">
        <v>32.6</v>
      </c>
      <c r="K161" s="134"/>
      <c r="L161" s="6" t="s">
        <v>25</v>
      </c>
      <c r="M161" s="358"/>
    </row>
    <row r="162" spans="1:13" s="77" customFormat="1" ht="27.75" customHeight="1" thickBot="1">
      <c r="A162" s="435" t="s">
        <v>87</v>
      </c>
      <c r="B162" s="382" t="s">
        <v>132</v>
      </c>
      <c r="C162" s="383"/>
      <c r="D162" s="480">
        <v>2019</v>
      </c>
      <c r="E162" s="377">
        <f>F162+G162+J162+K162</f>
        <v>47.04</v>
      </c>
      <c r="F162" s="137">
        <f>SUM(F163:F168)</f>
        <v>0</v>
      </c>
      <c r="G162" s="138">
        <f>H162+I162</f>
        <v>0</v>
      </c>
      <c r="H162" s="142">
        <f>SUM(H163:H168)</f>
        <v>0</v>
      </c>
      <c r="I162" s="142">
        <f>SUM(I163:I168)</f>
        <v>0</v>
      </c>
      <c r="J162" s="142">
        <f>SUM(J163:J168)</f>
        <v>47.04</v>
      </c>
      <c r="K162" s="143"/>
      <c r="L162" s="221"/>
      <c r="M162" s="358"/>
    </row>
    <row r="163" spans="1:13" s="77" customFormat="1" ht="24.75" customHeight="1">
      <c r="A163" s="436"/>
      <c r="B163" s="384"/>
      <c r="C163" s="385"/>
      <c r="D163" s="491"/>
      <c r="E163" s="378"/>
      <c r="F163" s="70"/>
      <c r="G163" s="135">
        <f aca="true" t="shared" si="27" ref="G163:G168">H163+I163</f>
        <v>0</v>
      </c>
      <c r="H163" s="70"/>
      <c r="I163" s="135"/>
      <c r="J163" s="135">
        <v>4.5</v>
      </c>
      <c r="K163" s="136"/>
      <c r="L163" s="6" t="s">
        <v>133</v>
      </c>
      <c r="M163" s="358"/>
    </row>
    <row r="164" spans="1:13" s="77" customFormat="1" ht="24.75" customHeight="1">
      <c r="A164" s="436"/>
      <c r="B164" s="384"/>
      <c r="C164" s="385"/>
      <c r="D164" s="491"/>
      <c r="E164" s="378"/>
      <c r="F164" s="11"/>
      <c r="G164" s="2">
        <f t="shared" si="27"/>
        <v>0</v>
      </c>
      <c r="H164" s="11"/>
      <c r="I164" s="2"/>
      <c r="J164" s="2">
        <v>6</v>
      </c>
      <c r="K164" s="12"/>
      <c r="L164" s="6" t="s">
        <v>134</v>
      </c>
      <c r="M164" s="358"/>
    </row>
    <row r="165" spans="1:13" s="77" customFormat="1" ht="24.75" customHeight="1">
      <c r="A165" s="436"/>
      <c r="B165" s="384"/>
      <c r="C165" s="385"/>
      <c r="D165" s="491"/>
      <c r="E165" s="378"/>
      <c r="F165" s="11"/>
      <c r="G165" s="2">
        <f t="shared" si="27"/>
        <v>0</v>
      </c>
      <c r="H165" s="11"/>
      <c r="I165" s="2"/>
      <c r="J165" s="2">
        <v>4.5</v>
      </c>
      <c r="K165" s="12"/>
      <c r="L165" s="6" t="s">
        <v>135</v>
      </c>
      <c r="M165" s="358"/>
    </row>
    <row r="166" spans="1:13" s="77" customFormat="1" ht="24.75" customHeight="1">
      <c r="A166" s="436"/>
      <c r="B166" s="384"/>
      <c r="C166" s="385"/>
      <c r="D166" s="491"/>
      <c r="E166" s="378"/>
      <c r="F166" s="11"/>
      <c r="G166" s="2">
        <f t="shared" si="27"/>
        <v>0</v>
      </c>
      <c r="H166" s="11"/>
      <c r="I166" s="2"/>
      <c r="J166" s="2">
        <v>20.04</v>
      </c>
      <c r="K166" s="12"/>
      <c r="L166" s="6" t="s">
        <v>48</v>
      </c>
      <c r="M166" s="358"/>
    </row>
    <row r="167" spans="1:13" s="77" customFormat="1" ht="24.75" customHeight="1">
      <c r="A167" s="436"/>
      <c r="B167" s="384"/>
      <c r="C167" s="385"/>
      <c r="D167" s="491"/>
      <c r="E167" s="378"/>
      <c r="F167" s="11"/>
      <c r="G167" s="2">
        <f t="shared" si="27"/>
        <v>0</v>
      </c>
      <c r="H167" s="11"/>
      <c r="I167" s="2"/>
      <c r="J167" s="2">
        <v>12</v>
      </c>
      <c r="K167" s="12"/>
      <c r="L167" s="6" t="s">
        <v>3</v>
      </c>
      <c r="M167" s="358"/>
    </row>
    <row r="168" spans="1:13" s="77" customFormat="1" ht="24.75" customHeight="1" thickBot="1">
      <c r="A168" s="436"/>
      <c r="B168" s="384"/>
      <c r="C168" s="385"/>
      <c r="D168" s="492"/>
      <c r="E168" s="378"/>
      <c r="F168" s="133"/>
      <c r="G168" s="58">
        <f t="shared" si="27"/>
        <v>0</v>
      </c>
      <c r="H168" s="133"/>
      <c r="I168" s="58"/>
      <c r="J168" s="58">
        <v>0</v>
      </c>
      <c r="K168" s="134"/>
      <c r="L168" s="6"/>
      <c r="M168" s="358"/>
    </row>
    <row r="169" spans="1:13" s="77" customFormat="1" ht="24.75" customHeight="1" thickBot="1">
      <c r="A169" s="436"/>
      <c r="B169" s="384"/>
      <c r="C169" s="385"/>
      <c r="D169" s="379">
        <v>2020</v>
      </c>
      <c r="E169" s="377">
        <f>F169+G169+J169+K169</f>
        <v>47.04</v>
      </c>
      <c r="F169" s="140"/>
      <c r="G169" s="75">
        <f aca="true" t="shared" si="28" ref="G169:G176">H169+I169</f>
        <v>0</v>
      </c>
      <c r="H169" s="75">
        <f>H170+H171+H172+H173+H175+H176</f>
        <v>0</v>
      </c>
      <c r="I169" s="75">
        <f>I170+I171+I172+I173+I175+I176</f>
        <v>0</v>
      </c>
      <c r="J169" s="75">
        <f>SUM(J170:J176)</f>
        <v>47.04</v>
      </c>
      <c r="K169" s="141">
        <f>K170+K171+K172+K173+K175+K176</f>
        <v>0</v>
      </c>
      <c r="L169" s="221"/>
      <c r="M169" s="358"/>
    </row>
    <row r="170" spans="1:13" s="77" customFormat="1" ht="36.75" customHeight="1">
      <c r="A170" s="436"/>
      <c r="B170" s="384"/>
      <c r="C170" s="385"/>
      <c r="D170" s="379"/>
      <c r="E170" s="378"/>
      <c r="F170" s="139"/>
      <c r="G170" s="139">
        <f t="shared" si="28"/>
        <v>0</v>
      </c>
      <c r="H170" s="139"/>
      <c r="I170" s="123"/>
      <c r="J170" s="123">
        <v>12</v>
      </c>
      <c r="K170" s="122"/>
      <c r="L170" s="6" t="s">
        <v>175</v>
      </c>
      <c r="M170" s="358"/>
    </row>
    <row r="171" spans="1:13" s="77" customFormat="1" ht="24.75" customHeight="1">
      <c r="A171" s="436"/>
      <c r="B171" s="384"/>
      <c r="C171" s="385"/>
      <c r="D171" s="379"/>
      <c r="E171" s="378"/>
      <c r="F171" s="25"/>
      <c r="G171" s="25">
        <f t="shared" si="28"/>
        <v>0</v>
      </c>
      <c r="H171" s="25"/>
      <c r="I171" s="27"/>
      <c r="J171" s="27">
        <v>4.5</v>
      </c>
      <c r="K171" s="36"/>
      <c r="L171" s="6" t="s">
        <v>15</v>
      </c>
      <c r="M171" s="358"/>
    </row>
    <row r="172" spans="1:13" s="77" customFormat="1" ht="24.75" customHeight="1">
      <c r="A172" s="436"/>
      <c r="B172" s="384"/>
      <c r="C172" s="385"/>
      <c r="D172" s="379"/>
      <c r="E172" s="378"/>
      <c r="F172" s="25"/>
      <c r="G172" s="25">
        <f t="shared" si="28"/>
        <v>0</v>
      </c>
      <c r="H172" s="25"/>
      <c r="I172" s="27"/>
      <c r="J172" s="27">
        <v>6</v>
      </c>
      <c r="K172" s="36"/>
      <c r="L172" s="6" t="s">
        <v>23</v>
      </c>
      <c r="M172" s="358"/>
    </row>
    <row r="173" spans="1:13" s="77" customFormat="1" ht="24.75" customHeight="1">
      <c r="A173" s="436"/>
      <c r="B173" s="384"/>
      <c r="C173" s="385"/>
      <c r="D173" s="379"/>
      <c r="E173" s="378"/>
      <c r="F173" s="25"/>
      <c r="G173" s="25">
        <f t="shared" si="28"/>
        <v>0</v>
      </c>
      <c r="H173" s="25"/>
      <c r="I173" s="27"/>
      <c r="J173" s="27">
        <v>4.5</v>
      </c>
      <c r="K173" s="36"/>
      <c r="L173" s="6" t="s">
        <v>12</v>
      </c>
      <c r="M173" s="358"/>
    </row>
    <row r="174" spans="1:13" s="77" customFormat="1" ht="24.75" customHeight="1">
      <c r="A174" s="436"/>
      <c r="B174" s="384"/>
      <c r="C174" s="385"/>
      <c r="D174" s="379"/>
      <c r="E174" s="378"/>
      <c r="F174" s="25"/>
      <c r="G174" s="25">
        <f t="shared" si="28"/>
        <v>0</v>
      </c>
      <c r="H174" s="25"/>
      <c r="I174" s="27"/>
      <c r="J174" s="2">
        <v>20.04</v>
      </c>
      <c r="K174" s="12"/>
      <c r="L174" s="6" t="s">
        <v>48</v>
      </c>
      <c r="M174" s="358"/>
    </row>
    <row r="175" spans="1:13" s="77" customFormat="1" ht="24.75" customHeight="1">
      <c r="A175" s="436"/>
      <c r="B175" s="384"/>
      <c r="C175" s="385"/>
      <c r="D175" s="379"/>
      <c r="E175" s="378"/>
      <c r="F175" s="25"/>
      <c r="G175" s="25">
        <f t="shared" si="28"/>
        <v>0</v>
      </c>
      <c r="H175" s="25"/>
      <c r="I175" s="27"/>
      <c r="J175" s="27">
        <v>0</v>
      </c>
      <c r="K175" s="36"/>
      <c r="L175" s="6" t="s">
        <v>24</v>
      </c>
      <c r="M175" s="358"/>
    </row>
    <row r="176" spans="1:13" s="77" customFormat="1" ht="24.75" customHeight="1" thickBot="1">
      <c r="A176" s="436"/>
      <c r="B176" s="384"/>
      <c r="C176" s="385"/>
      <c r="D176" s="379"/>
      <c r="E176" s="378"/>
      <c r="F176" s="107"/>
      <c r="G176" s="107">
        <f t="shared" si="28"/>
        <v>0</v>
      </c>
      <c r="H176" s="107"/>
      <c r="I176" s="73"/>
      <c r="J176" s="73">
        <v>0</v>
      </c>
      <c r="K176" s="121"/>
      <c r="L176" s="124" t="s">
        <v>25</v>
      </c>
      <c r="M176" s="358"/>
    </row>
    <row r="177" spans="1:13" s="77" customFormat="1" ht="24.75" customHeight="1" thickBot="1">
      <c r="A177" s="436"/>
      <c r="B177" s="384"/>
      <c r="C177" s="385"/>
      <c r="D177" s="379">
        <v>2021</v>
      </c>
      <c r="E177" s="377">
        <f>F177+G177+J177+K177</f>
        <v>47.04</v>
      </c>
      <c r="F177" s="140"/>
      <c r="G177" s="75">
        <f aca="true" t="shared" si="29" ref="G177:G184">H177+I177</f>
        <v>0</v>
      </c>
      <c r="H177" s="75">
        <f>H178+H179+H180+H181+H183+H184</f>
        <v>0</v>
      </c>
      <c r="I177" s="75">
        <f>I178+I179+I180+I181+I183+I184</f>
        <v>0</v>
      </c>
      <c r="J177" s="75">
        <f>SUM(J178:J184)</f>
        <v>47.04</v>
      </c>
      <c r="K177" s="75">
        <f>K178+K179+K180+K181+K183+K184</f>
        <v>0</v>
      </c>
      <c r="L177" s="223"/>
      <c r="M177" s="521"/>
    </row>
    <row r="178" spans="1:13" s="77" customFormat="1" ht="36" customHeight="1">
      <c r="A178" s="436"/>
      <c r="B178" s="384"/>
      <c r="C178" s="385"/>
      <c r="D178" s="379"/>
      <c r="E178" s="378"/>
      <c r="F178" s="139"/>
      <c r="G178" s="139">
        <f t="shared" si="29"/>
        <v>0</v>
      </c>
      <c r="H178" s="139"/>
      <c r="I178" s="123"/>
      <c r="J178" s="123">
        <v>12</v>
      </c>
      <c r="K178" s="122"/>
      <c r="L178" s="125" t="s">
        <v>175</v>
      </c>
      <c r="M178" s="358"/>
    </row>
    <row r="179" spans="1:13" s="77" customFormat="1" ht="24.75" customHeight="1">
      <c r="A179" s="436"/>
      <c r="B179" s="384"/>
      <c r="C179" s="385"/>
      <c r="D179" s="379"/>
      <c r="E179" s="378"/>
      <c r="F179" s="25"/>
      <c r="G179" s="25">
        <f t="shared" si="29"/>
        <v>0</v>
      </c>
      <c r="H179" s="25"/>
      <c r="I179" s="27"/>
      <c r="J179" s="27">
        <v>4.5</v>
      </c>
      <c r="K179" s="36"/>
      <c r="L179" s="6" t="s">
        <v>15</v>
      </c>
      <c r="M179" s="358"/>
    </row>
    <row r="180" spans="1:13" s="77" customFormat="1" ht="24.75" customHeight="1">
      <c r="A180" s="436"/>
      <c r="B180" s="384"/>
      <c r="C180" s="385"/>
      <c r="D180" s="379"/>
      <c r="E180" s="378"/>
      <c r="F180" s="25"/>
      <c r="G180" s="25">
        <f t="shared" si="29"/>
        <v>0</v>
      </c>
      <c r="H180" s="25"/>
      <c r="I180" s="27"/>
      <c r="J180" s="27">
        <v>6</v>
      </c>
      <c r="K180" s="36"/>
      <c r="L180" s="6" t="s">
        <v>23</v>
      </c>
      <c r="M180" s="358"/>
    </row>
    <row r="181" spans="1:13" s="77" customFormat="1" ht="24.75" customHeight="1">
      <c r="A181" s="436"/>
      <c r="B181" s="384"/>
      <c r="C181" s="385"/>
      <c r="D181" s="379"/>
      <c r="E181" s="378"/>
      <c r="F181" s="25"/>
      <c r="G181" s="25">
        <f t="shared" si="29"/>
        <v>0</v>
      </c>
      <c r="H181" s="25"/>
      <c r="I181" s="27"/>
      <c r="J181" s="27">
        <v>4.5</v>
      </c>
      <c r="K181" s="36"/>
      <c r="L181" s="6" t="s">
        <v>12</v>
      </c>
      <c r="M181" s="358"/>
    </row>
    <row r="182" spans="1:13" s="77" customFormat="1" ht="24.75" customHeight="1">
      <c r="A182" s="436"/>
      <c r="B182" s="384"/>
      <c r="C182" s="385"/>
      <c r="D182" s="379"/>
      <c r="E182" s="378"/>
      <c r="F182" s="25"/>
      <c r="G182" s="25">
        <f t="shared" si="29"/>
        <v>0</v>
      </c>
      <c r="H182" s="25"/>
      <c r="I182" s="27"/>
      <c r="J182" s="27">
        <v>20.04</v>
      </c>
      <c r="K182" s="36"/>
      <c r="L182" s="6" t="s">
        <v>48</v>
      </c>
      <c r="M182" s="358"/>
    </row>
    <row r="183" spans="1:13" s="77" customFormat="1" ht="24.75" customHeight="1">
      <c r="A183" s="436"/>
      <c r="B183" s="384"/>
      <c r="C183" s="385"/>
      <c r="D183" s="379"/>
      <c r="E183" s="378"/>
      <c r="F183" s="25"/>
      <c r="G183" s="25">
        <f t="shared" si="29"/>
        <v>0</v>
      </c>
      <c r="H183" s="25"/>
      <c r="I183" s="27"/>
      <c r="J183" s="27">
        <v>0</v>
      </c>
      <c r="K183" s="36"/>
      <c r="L183" s="6" t="s">
        <v>24</v>
      </c>
      <c r="M183" s="358"/>
    </row>
    <row r="184" spans="1:13" s="77" customFormat="1" ht="24.75" customHeight="1" thickBot="1">
      <c r="A184" s="436"/>
      <c r="B184" s="384"/>
      <c r="C184" s="385"/>
      <c r="D184" s="379"/>
      <c r="E184" s="378"/>
      <c r="F184" s="107"/>
      <c r="G184" s="107">
        <f t="shared" si="29"/>
        <v>0</v>
      </c>
      <c r="H184" s="107"/>
      <c r="I184" s="73"/>
      <c r="J184" s="73">
        <v>0</v>
      </c>
      <c r="K184" s="121"/>
      <c r="L184" s="6" t="s">
        <v>25</v>
      </c>
      <c r="M184" s="358"/>
    </row>
    <row r="185" spans="1:13" s="77" customFormat="1" ht="24" customHeight="1" thickBot="1">
      <c r="A185" s="436"/>
      <c r="B185" s="384"/>
      <c r="C185" s="385"/>
      <c r="D185" s="480">
        <v>2022</v>
      </c>
      <c r="E185" s="377">
        <f>F185+G185+J185+K185</f>
        <v>47.04</v>
      </c>
      <c r="F185" s="140"/>
      <c r="G185" s="75">
        <f>SUM(G186:G192)</f>
        <v>0</v>
      </c>
      <c r="H185" s="75">
        <f>SUM(H186:H192)</f>
        <v>0</v>
      </c>
      <c r="I185" s="75">
        <f>SUM(I186:I192)</f>
        <v>0</v>
      </c>
      <c r="J185" s="75">
        <f>SUM(J186:J192)</f>
        <v>47.04</v>
      </c>
      <c r="K185" s="75">
        <f>SUM(K186:K192)</f>
        <v>0</v>
      </c>
      <c r="L185" s="221"/>
      <c r="M185" s="24"/>
    </row>
    <row r="186" spans="1:13" s="77" customFormat="1" ht="36" customHeight="1">
      <c r="A186" s="436"/>
      <c r="B186" s="384"/>
      <c r="C186" s="385"/>
      <c r="D186" s="491"/>
      <c r="E186" s="378"/>
      <c r="F186" s="139"/>
      <c r="G186" s="139"/>
      <c r="H186" s="139"/>
      <c r="I186" s="123"/>
      <c r="J186" s="123">
        <v>12</v>
      </c>
      <c r="K186" s="122"/>
      <c r="L186" s="6" t="s">
        <v>175</v>
      </c>
      <c r="M186" s="24"/>
    </row>
    <row r="187" spans="1:13" s="77" customFormat="1" ht="24.75" customHeight="1">
      <c r="A187" s="436"/>
      <c r="B187" s="384"/>
      <c r="C187" s="385"/>
      <c r="D187" s="491"/>
      <c r="E187" s="378"/>
      <c r="F187" s="25"/>
      <c r="G187" s="25"/>
      <c r="H187" s="25"/>
      <c r="I187" s="27"/>
      <c r="J187" s="27">
        <v>4.5</v>
      </c>
      <c r="K187" s="36"/>
      <c r="L187" s="6" t="s">
        <v>15</v>
      </c>
      <c r="M187" s="24"/>
    </row>
    <row r="188" spans="1:13" s="77" customFormat="1" ht="24.75" customHeight="1">
      <c r="A188" s="436"/>
      <c r="B188" s="384"/>
      <c r="C188" s="385"/>
      <c r="D188" s="491"/>
      <c r="E188" s="378"/>
      <c r="F188" s="25"/>
      <c r="G188" s="25"/>
      <c r="H188" s="25"/>
      <c r="I188" s="27"/>
      <c r="J188" s="27">
        <v>6</v>
      </c>
      <c r="K188" s="36"/>
      <c r="L188" s="6" t="s">
        <v>23</v>
      </c>
      <c r="M188" s="24"/>
    </row>
    <row r="189" spans="1:13" s="77" customFormat="1" ht="24.75" customHeight="1">
      <c r="A189" s="436"/>
      <c r="B189" s="384"/>
      <c r="C189" s="385"/>
      <c r="D189" s="491"/>
      <c r="E189" s="378"/>
      <c r="F189" s="25"/>
      <c r="G189" s="25"/>
      <c r="H189" s="25"/>
      <c r="I189" s="27"/>
      <c r="J189" s="27">
        <v>4.5</v>
      </c>
      <c r="K189" s="36"/>
      <c r="L189" s="6" t="s">
        <v>12</v>
      </c>
      <c r="M189" s="24"/>
    </row>
    <row r="190" spans="1:13" s="77" customFormat="1" ht="24.75" customHeight="1">
      <c r="A190" s="436"/>
      <c r="B190" s="384"/>
      <c r="C190" s="385"/>
      <c r="D190" s="491"/>
      <c r="E190" s="378"/>
      <c r="F190" s="25"/>
      <c r="G190" s="25"/>
      <c r="H190" s="25"/>
      <c r="I190" s="27"/>
      <c r="J190" s="27">
        <v>20.04</v>
      </c>
      <c r="K190" s="36"/>
      <c r="L190" s="6" t="s">
        <v>48</v>
      </c>
      <c r="M190" s="24"/>
    </row>
    <row r="191" spans="1:13" s="77" customFormat="1" ht="24.75" customHeight="1">
      <c r="A191" s="436"/>
      <c r="B191" s="384"/>
      <c r="C191" s="385"/>
      <c r="D191" s="491"/>
      <c r="E191" s="378"/>
      <c r="F191" s="25"/>
      <c r="G191" s="25"/>
      <c r="H191" s="25"/>
      <c r="I191" s="27"/>
      <c r="J191" s="27">
        <v>0</v>
      </c>
      <c r="K191" s="36"/>
      <c r="L191" s="6" t="s">
        <v>24</v>
      </c>
      <c r="M191" s="24"/>
    </row>
    <row r="192" spans="1:13" s="77" customFormat="1" ht="24.75" customHeight="1">
      <c r="A192" s="437"/>
      <c r="B192" s="386"/>
      <c r="C192" s="387"/>
      <c r="D192" s="492"/>
      <c r="E192" s="378"/>
      <c r="F192" s="25"/>
      <c r="G192" s="25"/>
      <c r="H192" s="25"/>
      <c r="I192" s="27"/>
      <c r="J192" s="27">
        <v>0</v>
      </c>
      <c r="K192" s="36"/>
      <c r="L192" s="6" t="s">
        <v>25</v>
      </c>
      <c r="M192" s="24"/>
    </row>
    <row r="193" spans="1:13" s="77" customFormat="1" ht="24.75" customHeight="1">
      <c r="A193" s="504" t="s">
        <v>255</v>
      </c>
      <c r="B193" s="358" t="s">
        <v>225</v>
      </c>
      <c r="C193" s="358"/>
      <c r="D193" s="43">
        <v>2017</v>
      </c>
      <c r="E193" s="25">
        <f aca="true" t="shared" si="30" ref="E193:E200">F193+G193+J193+K193</f>
        <v>169.78</v>
      </c>
      <c r="F193" s="25"/>
      <c r="G193" s="25">
        <f aca="true" t="shared" si="31" ref="G193:G200">H193+I193</f>
        <v>155.2</v>
      </c>
      <c r="H193" s="25"/>
      <c r="I193" s="25">
        <v>155.2</v>
      </c>
      <c r="J193" s="25">
        <f>15-0.42</f>
        <v>14.58</v>
      </c>
      <c r="K193" s="36"/>
      <c r="L193" s="6" t="s">
        <v>50</v>
      </c>
      <c r="M193" s="358" t="s">
        <v>59</v>
      </c>
    </row>
    <row r="194" spans="1:13" s="77" customFormat="1" ht="24.75" customHeight="1">
      <c r="A194" s="504"/>
      <c r="B194" s="358"/>
      <c r="C194" s="358"/>
      <c r="D194" s="43">
        <v>2018</v>
      </c>
      <c r="E194" s="25">
        <f t="shared" si="30"/>
        <v>162.2</v>
      </c>
      <c r="F194" s="25"/>
      <c r="G194" s="25">
        <f t="shared" si="31"/>
        <v>162.2</v>
      </c>
      <c r="H194" s="25"/>
      <c r="I194" s="25">
        <v>162.2</v>
      </c>
      <c r="J194" s="27"/>
      <c r="K194" s="36"/>
      <c r="L194" s="6" t="s">
        <v>50</v>
      </c>
      <c r="M194" s="358"/>
    </row>
    <row r="195" spans="1:13" s="77" customFormat="1" ht="24.75" customHeight="1">
      <c r="A195" s="504"/>
      <c r="B195" s="358"/>
      <c r="C195" s="358"/>
      <c r="D195" s="43">
        <v>2019</v>
      </c>
      <c r="E195" s="25">
        <f t="shared" si="30"/>
        <v>481.1</v>
      </c>
      <c r="F195" s="25"/>
      <c r="G195" s="25">
        <f t="shared" si="31"/>
        <v>481.1</v>
      </c>
      <c r="H195" s="25"/>
      <c r="I195" s="25">
        <v>481.1</v>
      </c>
      <c r="J195" s="27"/>
      <c r="K195" s="36"/>
      <c r="L195" s="6" t="s">
        <v>50</v>
      </c>
      <c r="M195" s="358"/>
    </row>
    <row r="196" spans="1:13" s="77" customFormat="1" ht="24.75" customHeight="1">
      <c r="A196" s="504"/>
      <c r="B196" s="358"/>
      <c r="C196" s="358"/>
      <c r="D196" s="43">
        <v>2020</v>
      </c>
      <c r="E196" s="25">
        <f>F196+G196+J196+K196</f>
        <v>163.2</v>
      </c>
      <c r="F196" s="25"/>
      <c r="G196" s="25">
        <f t="shared" si="31"/>
        <v>163.2</v>
      </c>
      <c r="H196" s="25"/>
      <c r="I196" s="25">
        <v>163.2</v>
      </c>
      <c r="J196" s="27"/>
      <c r="K196" s="36"/>
      <c r="L196" s="6" t="s">
        <v>50</v>
      </c>
      <c r="M196" s="358"/>
    </row>
    <row r="197" spans="1:13" s="77" customFormat="1" ht="24.75" customHeight="1">
      <c r="A197" s="504"/>
      <c r="B197" s="358"/>
      <c r="C197" s="358"/>
      <c r="D197" s="43">
        <v>2021</v>
      </c>
      <c r="E197" s="25">
        <f>F197+G197+J197+K197</f>
        <v>163.2</v>
      </c>
      <c r="F197" s="25"/>
      <c r="G197" s="25">
        <f>H197+I197</f>
        <v>163.2</v>
      </c>
      <c r="H197" s="25"/>
      <c r="I197" s="25">
        <v>163.2</v>
      </c>
      <c r="J197" s="27"/>
      <c r="K197" s="36"/>
      <c r="L197" s="6" t="s">
        <v>50</v>
      </c>
      <c r="M197" s="358"/>
    </row>
    <row r="198" spans="1:13" s="77" customFormat="1" ht="24.75" customHeight="1">
      <c r="A198" s="504"/>
      <c r="B198" s="358"/>
      <c r="C198" s="358"/>
      <c r="D198" s="43">
        <v>2022</v>
      </c>
      <c r="E198" s="25">
        <f t="shared" si="30"/>
        <v>163.2</v>
      </c>
      <c r="F198" s="25"/>
      <c r="G198" s="25">
        <f t="shared" si="31"/>
        <v>163.2</v>
      </c>
      <c r="H198" s="25"/>
      <c r="I198" s="25">
        <v>163.2</v>
      </c>
      <c r="J198" s="27"/>
      <c r="K198" s="36"/>
      <c r="L198" s="6" t="s">
        <v>50</v>
      </c>
      <c r="M198" s="358"/>
    </row>
    <row r="199" spans="1:13" s="77" customFormat="1" ht="79.5" customHeight="1">
      <c r="A199" s="127" t="s">
        <v>256</v>
      </c>
      <c r="B199" s="360" t="s">
        <v>224</v>
      </c>
      <c r="C199" s="360"/>
      <c r="D199" s="43">
        <v>2019</v>
      </c>
      <c r="E199" s="25">
        <f>F199+G199+J199+K199</f>
        <v>96.58</v>
      </c>
      <c r="F199" s="25"/>
      <c r="G199" s="25">
        <f>H199+I199</f>
        <v>0</v>
      </c>
      <c r="H199" s="25"/>
      <c r="I199" s="25"/>
      <c r="J199" s="25">
        <v>96.58</v>
      </c>
      <c r="K199" s="36"/>
      <c r="L199" s="6" t="s">
        <v>186</v>
      </c>
      <c r="M199" s="24"/>
    </row>
    <row r="200" spans="1:13" s="77" customFormat="1" ht="71.25" customHeight="1" thickBot="1">
      <c r="A200" s="82" t="s">
        <v>120</v>
      </c>
      <c r="B200" s="358" t="s">
        <v>88</v>
      </c>
      <c r="C200" s="358"/>
      <c r="D200" s="43">
        <v>2017</v>
      </c>
      <c r="E200" s="107">
        <f t="shared" si="30"/>
        <v>2375.768</v>
      </c>
      <c r="F200" s="25"/>
      <c r="G200" s="25">
        <f t="shared" si="31"/>
        <v>0</v>
      </c>
      <c r="H200" s="74"/>
      <c r="I200" s="74"/>
      <c r="J200" s="25">
        <v>2375.768</v>
      </c>
      <c r="K200" s="36"/>
      <c r="L200" s="124" t="s">
        <v>41</v>
      </c>
      <c r="M200" s="24" t="s">
        <v>65</v>
      </c>
    </row>
    <row r="201" spans="1:13" s="89" customFormat="1" ht="46.5" customHeight="1" thickBot="1">
      <c r="A201" s="259" t="s">
        <v>257</v>
      </c>
      <c r="B201" s="349" t="s">
        <v>162</v>
      </c>
      <c r="C201" s="349"/>
      <c r="D201" s="195">
        <v>2019</v>
      </c>
      <c r="E201" s="196">
        <f>F201+G201+J201+K201</f>
        <v>330</v>
      </c>
      <c r="F201" s="197"/>
      <c r="G201" s="198">
        <f>H201+I201</f>
        <v>0</v>
      </c>
      <c r="H201" s="198">
        <v>0</v>
      </c>
      <c r="I201" s="198">
        <v>0</v>
      </c>
      <c r="J201" s="198">
        <f>330.278-0.278</f>
        <v>330</v>
      </c>
      <c r="K201" s="199"/>
      <c r="L201" s="200" t="s">
        <v>167</v>
      </c>
      <c r="M201" s="108"/>
    </row>
    <row r="202" spans="1:13" s="110" customFormat="1" ht="38.25" customHeight="1" thickBot="1">
      <c r="A202" s="88" t="s">
        <v>173</v>
      </c>
      <c r="B202" s="500"/>
      <c r="C202" s="501"/>
      <c r="D202" s="4"/>
      <c r="E202" s="27"/>
      <c r="F202" s="25"/>
      <c r="G202" s="27"/>
      <c r="H202" s="27"/>
      <c r="I202" s="27"/>
      <c r="J202" s="27"/>
      <c r="K202" s="36"/>
      <c r="L202" s="6"/>
      <c r="M202" s="227"/>
    </row>
    <row r="203" spans="1:13" s="110" customFormat="1" ht="91.5" customHeight="1" thickBot="1">
      <c r="A203" s="260" t="s">
        <v>258</v>
      </c>
      <c r="B203" s="349" t="s">
        <v>179</v>
      </c>
      <c r="C203" s="349"/>
      <c r="D203" s="185">
        <v>2019</v>
      </c>
      <c r="E203" s="114">
        <f>F203+G203+J203+K203</f>
        <v>80.293</v>
      </c>
      <c r="F203" s="202"/>
      <c r="G203" s="115">
        <f>H203+I203</f>
        <v>0</v>
      </c>
      <c r="H203" s="115">
        <v>0</v>
      </c>
      <c r="I203" s="123">
        <v>0</v>
      </c>
      <c r="J203" s="123">
        <f>19+61.293</f>
        <v>80.293</v>
      </c>
      <c r="K203" s="122">
        <v>0</v>
      </c>
      <c r="L203" s="116" t="s">
        <v>3</v>
      </c>
      <c r="M203" s="117" t="s">
        <v>178</v>
      </c>
    </row>
    <row r="204" spans="1:13" s="110" customFormat="1" ht="352.5" customHeight="1" thickBot="1">
      <c r="A204" s="118" t="s">
        <v>234</v>
      </c>
      <c r="B204" s="349" t="s">
        <v>239</v>
      </c>
      <c r="C204" s="349"/>
      <c r="D204" s="250">
        <v>2019</v>
      </c>
      <c r="E204" s="27">
        <f>F204+G204+J204+K204</f>
        <v>0</v>
      </c>
      <c r="F204" s="25"/>
      <c r="G204" s="27">
        <f>H204+I204</f>
        <v>0</v>
      </c>
      <c r="H204" s="27">
        <v>0</v>
      </c>
      <c r="I204" s="27">
        <v>0</v>
      </c>
      <c r="J204" s="27">
        <v>0</v>
      </c>
      <c r="K204" s="36">
        <v>0</v>
      </c>
      <c r="L204" s="125" t="s">
        <v>174</v>
      </c>
      <c r="M204" s="251" t="s">
        <v>240</v>
      </c>
    </row>
    <row r="205" spans="1:13" s="110" customFormat="1" ht="27" customHeight="1" thickBot="1">
      <c r="A205" s="104" t="s">
        <v>235</v>
      </c>
      <c r="B205" s="380" t="s">
        <v>233</v>
      </c>
      <c r="C205" s="381"/>
      <c r="D205" s="184">
        <v>2020</v>
      </c>
      <c r="E205" s="202">
        <f aca="true" t="shared" si="32" ref="E205:K205">E206+E207</f>
        <v>0</v>
      </c>
      <c r="F205" s="202">
        <f t="shared" si="32"/>
        <v>0</v>
      </c>
      <c r="G205" s="202">
        <f t="shared" si="32"/>
        <v>0</v>
      </c>
      <c r="H205" s="202">
        <f t="shared" si="32"/>
        <v>0</v>
      </c>
      <c r="I205" s="107">
        <f t="shared" si="32"/>
        <v>0</v>
      </c>
      <c r="J205" s="107">
        <f t="shared" si="32"/>
        <v>0</v>
      </c>
      <c r="K205" s="107">
        <f t="shared" si="32"/>
        <v>0</v>
      </c>
      <c r="L205" s="124"/>
      <c r="M205" s="182"/>
    </row>
    <row r="206" spans="1:13" s="110" customFormat="1" ht="19.5" customHeight="1">
      <c r="A206" s="337" t="s">
        <v>236</v>
      </c>
      <c r="B206" s="340"/>
      <c r="C206" s="341"/>
      <c r="D206" s="181"/>
      <c r="E206" s="186"/>
      <c r="F206" s="187"/>
      <c r="G206" s="186"/>
      <c r="H206" s="186"/>
      <c r="I206" s="186"/>
      <c r="J206" s="186"/>
      <c r="K206" s="254"/>
      <c r="L206" s="181"/>
      <c r="M206" s="355" t="s">
        <v>241</v>
      </c>
    </row>
    <row r="207" spans="1:13" s="110" customFormat="1" ht="19.5" customHeight="1">
      <c r="A207" s="338"/>
      <c r="B207" s="342"/>
      <c r="C207" s="343"/>
      <c r="D207" s="183"/>
      <c r="E207" s="27"/>
      <c r="F207" s="25"/>
      <c r="G207" s="27"/>
      <c r="H207" s="27"/>
      <c r="I207" s="27"/>
      <c r="J207" s="27"/>
      <c r="K207" s="36"/>
      <c r="L207" s="183"/>
      <c r="M207" s="356"/>
    </row>
    <row r="208" spans="1:13" s="110" customFormat="1" ht="19.5" customHeight="1">
      <c r="A208" s="338"/>
      <c r="B208" s="342"/>
      <c r="C208" s="343"/>
      <c r="D208" s="109"/>
      <c r="E208" s="25"/>
      <c r="F208" s="25"/>
      <c r="G208" s="25"/>
      <c r="H208" s="25"/>
      <c r="I208" s="25"/>
      <c r="J208" s="25"/>
      <c r="K208" s="25"/>
      <c r="L208" s="6"/>
      <c r="M208" s="356"/>
    </row>
    <row r="209" spans="1:13" s="110" customFormat="1" ht="19.5" customHeight="1">
      <c r="A209" s="338"/>
      <c r="B209" s="342"/>
      <c r="C209" s="343"/>
      <c r="D209" s="183"/>
      <c r="E209" s="27"/>
      <c r="F209" s="25"/>
      <c r="G209" s="27"/>
      <c r="H209" s="27"/>
      <c r="I209" s="27"/>
      <c r="J209" s="27"/>
      <c r="K209" s="36"/>
      <c r="L209" s="183"/>
      <c r="M209" s="356"/>
    </row>
    <row r="210" spans="1:13" s="110" customFormat="1" ht="19.5" customHeight="1">
      <c r="A210" s="338"/>
      <c r="B210" s="342"/>
      <c r="C210" s="343"/>
      <c r="D210" s="183"/>
      <c r="E210" s="27"/>
      <c r="F210" s="25"/>
      <c r="G210" s="27"/>
      <c r="H210" s="27"/>
      <c r="I210" s="27"/>
      <c r="J210" s="27"/>
      <c r="K210" s="36"/>
      <c r="L210" s="183"/>
      <c r="M210" s="356"/>
    </row>
    <row r="211" spans="1:13" s="110" customFormat="1" ht="19.5" customHeight="1" thickBot="1">
      <c r="A211" s="339"/>
      <c r="B211" s="344"/>
      <c r="C211" s="345"/>
      <c r="D211" s="189"/>
      <c r="E211" s="190"/>
      <c r="F211" s="190"/>
      <c r="G211" s="190"/>
      <c r="H211" s="190"/>
      <c r="I211" s="190"/>
      <c r="J211" s="190"/>
      <c r="K211" s="191"/>
      <c r="L211" s="192"/>
      <c r="M211" s="357"/>
    </row>
    <row r="212" spans="1:13" s="110" customFormat="1" ht="19.5" customHeight="1">
      <c r="A212" s="468" t="s">
        <v>237</v>
      </c>
      <c r="B212" s="340"/>
      <c r="C212" s="341"/>
      <c r="D212" s="185"/>
      <c r="E212" s="139"/>
      <c r="F212" s="139"/>
      <c r="G212" s="139"/>
      <c r="H212" s="139"/>
      <c r="I212" s="139"/>
      <c r="J212" s="139"/>
      <c r="K212" s="139"/>
      <c r="L212" s="125"/>
      <c r="M212" s="353"/>
    </row>
    <row r="213" spans="1:13" s="110" customFormat="1" ht="19.5" customHeight="1" thickBot="1">
      <c r="A213" s="469"/>
      <c r="B213" s="342"/>
      <c r="C213" s="343"/>
      <c r="D213" s="201"/>
      <c r="E213" s="107"/>
      <c r="F213" s="202"/>
      <c r="G213" s="202"/>
      <c r="H213" s="115"/>
      <c r="I213" s="115"/>
      <c r="J213" s="115"/>
      <c r="K213" s="255"/>
      <c r="L213" s="201"/>
      <c r="M213" s="354"/>
    </row>
    <row r="214" spans="1:13" s="110" customFormat="1" ht="19.5" customHeight="1">
      <c r="A214" s="346" t="s">
        <v>238</v>
      </c>
      <c r="B214" s="340"/>
      <c r="C214" s="341"/>
      <c r="D214" s="204"/>
      <c r="E214" s="187"/>
      <c r="F214" s="187"/>
      <c r="G214" s="187"/>
      <c r="H214" s="187"/>
      <c r="I214" s="187"/>
      <c r="J214" s="187"/>
      <c r="K214" s="187"/>
      <c r="L214" s="188"/>
      <c r="M214" s="350"/>
    </row>
    <row r="215" spans="1:13" s="110" customFormat="1" ht="19.5" customHeight="1">
      <c r="A215" s="347"/>
      <c r="B215" s="342"/>
      <c r="C215" s="343"/>
      <c r="D215" s="183"/>
      <c r="E215" s="27"/>
      <c r="F215" s="25"/>
      <c r="G215" s="27"/>
      <c r="H215" s="27"/>
      <c r="I215" s="27"/>
      <c r="J215" s="27"/>
      <c r="K215" s="36"/>
      <c r="L215" s="183"/>
      <c r="M215" s="351"/>
    </row>
    <row r="216" spans="1:13" s="110" customFormat="1" ht="19.5" customHeight="1">
      <c r="A216" s="347"/>
      <c r="B216" s="342"/>
      <c r="C216" s="343"/>
      <c r="D216" s="109"/>
      <c r="E216" s="25"/>
      <c r="F216" s="25"/>
      <c r="G216" s="25"/>
      <c r="H216" s="25"/>
      <c r="I216" s="25"/>
      <c r="J216" s="25"/>
      <c r="K216" s="25"/>
      <c r="L216" s="6"/>
      <c r="M216" s="351"/>
    </row>
    <row r="217" spans="1:13" s="110" customFormat="1" ht="19.5" customHeight="1" thickBot="1">
      <c r="A217" s="348"/>
      <c r="B217" s="344"/>
      <c r="C217" s="345"/>
      <c r="D217" s="205"/>
      <c r="E217" s="206"/>
      <c r="F217" s="190"/>
      <c r="G217" s="206"/>
      <c r="H217" s="206"/>
      <c r="I217" s="206"/>
      <c r="J217" s="206"/>
      <c r="K217" s="191"/>
      <c r="L217" s="205"/>
      <c r="M217" s="352"/>
    </row>
    <row r="218" spans="1:13" s="77" customFormat="1" ht="34.5" customHeight="1">
      <c r="A218" s="505"/>
      <c r="B218" s="502" t="s">
        <v>32</v>
      </c>
      <c r="C218" s="502"/>
      <c r="D218" s="203">
        <v>2017</v>
      </c>
      <c r="E218" s="139">
        <f>F218+G218+J218+K218</f>
        <v>3516.3419999999996</v>
      </c>
      <c r="F218" s="152">
        <v>0</v>
      </c>
      <c r="G218" s="139">
        <f>H218+I218</f>
        <v>205.2</v>
      </c>
      <c r="H218" s="139">
        <f>H193+H115+H109+H102+H89+H83+H74+H68</f>
        <v>0</v>
      </c>
      <c r="I218" s="139">
        <f>I193+I115+I109+I102+I89+I83+I74+I68</f>
        <v>205.2</v>
      </c>
      <c r="J218" s="139">
        <f>J68+J74+J83+J89+J96+J102+J115+J193+J200</f>
        <v>3311.142</v>
      </c>
      <c r="K218" s="122">
        <v>0</v>
      </c>
      <c r="L218" s="224"/>
      <c r="M218" s="476"/>
    </row>
    <row r="219" spans="1:13" s="77" customFormat="1" ht="32.25" customHeight="1">
      <c r="A219" s="402"/>
      <c r="B219" s="503"/>
      <c r="C219" s="503"/>
      <c r="D219" s="44">
        <v>2018</v>
      </c>
      <c r="E219" s="25">
        <f aca="true" t="shared" si="33" ref="E219:J219">E75+E84+E90+E97+E104+E110+E122+E194</f>
        <v>3449.7360099999996</v>
      </c>
      <c r="F219" s="25">
        <f t="shared" si="33"/>
        <v>0</v>
      </c>
      <c r="G219" s="25">
        <f t="shared" si="33"/>
        <v>162.2</v>
      </c>
      <c r="H219" s="25">
        <f t="shared" si="33"/>
        <v>0</v>
      </c>
      <c r="I219" s="25">
        <f t="shared" si="33"/>
        <v>162.2</v>
      </c>
      <c r="J219" s="25">
        <f t="shared" si="33"/>
        <v>3287.53601</v>
      </c>
      <c r="K219" s="36">
        <v>0</v>
      </c>
      <c r="L219" s="225"/>
      <c r="M219" s="476"/>
    </row>
    <row r="220" spans="1:13" s="77" customFormat="1" ht="32.25" customHeight="1">
      <c r="A220" s="402"/>
      <c r="B220" s="503"/>
      <c r="C220" s="503"/>
      <c r="D220" s="44">
        <v>2019</v>
      </c>
      <c r="E220" s="25">
        <f>E71+E76+E80+E92+E98+E105+E111+E130+E162+E195+E201+E202+E203+E82+E199</f>
        <v>1852.0430000000001</v>
      </c>
      <c r="F220" s="25">
        <f>F71+F76+F80+F92+F98+F105+F111+F130+F162+F195+F201+F202+F203+F82+F199</f>
        <v>0</v>
      </c>
      <c r="G220" s="25">
        <f>G71+G76+G80+G92+G98+G105+G111+G130+G162+G195+G201+G202+G203+G82+G199</f>
        <v>531.1</v>
      </c>
      <c r="H220" s="25">
        <f>H71+H76+H80+H92+H98+H105+H111+H130+H162+H195+H201+H202+H203+H82+H199</f>
        <v>0</v>
      </c>
      <c r="I220" s="25">
        <f>I71+I76+I80+I92+I98+I105+I111+I130+I162+I195+I201+I202+I203+I82+I199</f>
        <v>531.1</v>
      </c>
      <c r="J220" s="25">
        <f>J71+J76+J80+J92+J98+J105+J111+J130+J162+J195+J201+J202+J203+J82+J199+J204</f>
        <v>1320.9429999999998</v>
      </c>
      <c r="K220" s="25">
        <f>K71+K76+K80+K92+K98+K105+K111+K130+K162+K195+K201+K202+K203+K82+K199+K204</f>
        <v>0</v>
      </c>
      <c r="L220" s="226"/>
      <c r="M220" s="476"/>
    </row>
    <row r="221" spans="1:13" s="77" customFormat="1" ht="32.25" customHeight="1">
      <c r="A221" s="402"/>
      <c r="B221" s="503"/>
      <c r="C221" s="503"/>
      <c r="D221" s="44">
        <v>2020</v>
      </c>
      <c r="E221" s="25">
        <f aca="true" t="shared" si="34" ref="E221:K221">E72+E77+E81+E93+E99+E106+E112+E138+E169+E196+E59</f>
        <v>1893.6599999999999</v>
      </c>
      <c r="F221" s="25">
        <f t="shared" si="34"/>
        <v>0</v>
      </c>
      <c r="G221" s="25">
        <f t="shared" si="34"/>
        <v>1280.2</v>
      </c>
      <c r="H221" s="25">
        <f t="shared" si="34"/>
        <v>1117</v>
      </c>
      <c r="I221" s="25">
        <f t="shared" si="34"/>
        <v>163.2</v>
      </c>
      <c r="J221" s="25">
        <f t="shared" si="34"/>
        <v>613.4599999999999</v>
      </c>
      <c r="K221" s="25">
        <f t="shared" si="34"/>
        <v>0</v>
      </c>
      <c r="L221" s="225"/>
      <c r="M221" s="476"/>
    </row>
    <row r="222" spans="1:13" s="77" customFormat="1" ht="32.25" customHeight="1">
      <c r="A222" s="402"/>
      <c r="B222" s="503"/>
      <c r="C222" s="503"/>
      <c r="D222" s="42">
        <v>2021</v>
      </c>
      <c r="E222" s="25">
        <f aca="true" t="shared" si="35" ref="E222:K222">E73+E78+E87+E94+E100+E107+E113+E146+E177+E197+E60</f>
        <v>7607.76</v>
      </c>
      <c r="F222" s="25">
        <f t="shared" si="35"/>
        <v>0</v>
      </c>
      <c r="G222" s="25">
        <f t="shared" si="35"/>
        <v>6799.3</v>
      </c>
      <c r="H222" s="25">
        <f t="shared" si="35"/>
        <v>6636.1</v>
      </c>
      <c r="I222" s="25">
        <f t="shared" si="35"/>
        <v>163.2</v>
      </c>
      <c r="J222" s="25">
        <f t="shared" si="35"/>
        <v>808.46</v>
      </c>
      <c r="K222" s="25">
        <f t="shared" si="35"/>
        <v>0</v>
      </c>
      <c r="L222" s="225"/>
      <c r="M222" s="476"/>
    </row>
    <row r="223" spans="1:13" s="77" customFormat="1" ht="29.25" customHeight="1">
      <c r="A223" s="402"/>
      <c r="B223" s="503"/>
      <c r="C223" s="503"/>
      <c r="D223" s="42">
        <v>2022</v>
      </c>
      <c r="E223" s="25">
        <f aca="true" t="shared" si="36" ref="E223:K223">E79+E88+E95+E101+E108+E114+E154+E185+E198+E61</f>
        <v>1857.36</v>
      </c>
      <c r="F223" s="25">
        <f t="shared" si="36"/>
        <v>0</v>
      </c>
      <c r="G223" s="25">
        <f t="shared" si="36"/>
        <v>1113.2</v>
      </c>
      <c r="H223" s="25">
        <f t="shared" si="36"/>
        <v>950</v>
      </c>
      <c r="I223" s="25">
        <f t="shared" si="36"/>
        <v>163.2</v>
      </c>
      <c r="J223" s="25">
        <f t="shared" si="36"/>
        <v>744.16</v>
      </c>
      <c r="K223" s="25">
        <f t="shared" si="36"/>
        <v>0</v>
      </c>
      <c r="L223" s="225"/>
      <c r="M223" s="476"/>
    </row>
    <row r="224" spans="1:13" s="77" customFormat="1" ht="29.25" customHeight="1">
      <c r="A224" s="298" t="s">
        <v>136</v>
      </c>
      <c r="B224" s="474"/>
      <c r="C224" s="474"/>
      <c r="D224" s="474"/>
      <c r="E224" s="474"/>
      <c r="F224" s="474"/>
      <c r="G224" s="474"/>
      <c r="H224" s="474"/>
      <c r="I224" s="474"/>
      <c r="J224" s="474"/>
      <c r="K224" s="474"/>
      <c r="L224" s="474"/>
      <c r="M224" s="475"/>
    </row>
    <row r="225" spans="1:13" s="77" customFormat="1" ht="43.5" customHeight="1">
      <c r="A225" s="430" t="s">
        <v>137</v>
      </c>
      <c r="B225" s="431"/>
      <c r="C225" s="431"/>
      <c r="D225" s="431"/>
      <c r="E225" s="431"/>
      <c r="F225" s="431"/>
      <c r="G225" s="431"/>
      <c r="H225" s="431"/>
      <c r="I225" s="431"/>
      <c r="J225" s="431"/>
      <c r="K225" s="431"/>
      <c r="L225" s="431"/>
      <c r="M225" s="432"/>
    </row>
    <row r="226" spans="1:13" s="77" customFormat="1" ht="106.5" customHeight="1">
      <c r="A226" s="430" t="s">
        <v>161</v>
      </c>
      <c r="B226" s="431"/>
      <c r="C226" s="431"/>
      <c r="D226" s="431"/>
      <c r="E226" s="431"/>
      <c r="F226" s="431"/>
      <c r="G226" s="431"/>
      <c r="H226" s="431"/>
      <c r="I226" s="431"/>
      <c r="J226" s="431"/>
      <c r="K226" s="431"/>
      <c r="L226" s="431"/>
      <c r="M226" s="432"/>
    </row>
    <row r="227" spans="1:13" s="77" customFormat="1" ht="27" customHeight="1">
      <c r="A227" s="430" t="s">
        <v>2</v>
      </c>
      <c r="B227" s="431"/>
      <c r="C227" s="431"/>
      <c r="D227" s="431"/>
      <c r="E227" s="431"/>
      <c r="F227" s="431"/>
      <c r="G227" s="431"/>
      <c r="H227" s="431"/>
      <c r="I227" s="431"/>
      <c r="J227" s="431"/>
      <c r="K227" s="431"/>
      <c r="L227" s="431"/>
      <c r="M227" s="432"/>
    </row>
    <row r="228" spans="1:13" s="77" customFormat="1" ht="37.5" customHeight="1">
      <c r="A228" s="296" t="s">
        <v>106</v>
      </c>
      <c r="B228" s="334" t="s">
        <v>153</v>
      </c>
      <c r="C228" s="9" t="s">
        <v>156</v>
      </c>
      <c r="D228" s="4">
        <v>2017</v>
      </c>
      <c r="E228" s="14">
        <f>F228+G228+J228+K228</f>
        <v>15500.856</v>
      </c>
      <c r="F228" s="13"/>
      <c r="G228" s="14">
        <f>H228+I228</f>
        <v>0</v>
      </c>
      <c r="H228" s="14"/>
      <c r="I228" s="14"/>
      <c r="J228" s="14">
        <f>J272+J273+J274+J275+J276+J278</f>
        <v>15500.856</v>
      </c>
      <c r="K228" s="15">
        <v>0</v>
      </c>
      <c r="L228" s="5" t="s">
        <v>38</v>
      </c>
      <c r="M228" s="358" t="s">
        <v>68</v>
      </c>
    </row>
    <row r="229" spans="1:13" s="77" customFormat="1" ht="37.5" customHeight="1">
      <c r="A229" s="470"/>
      <c r="B229" s="335"/>
      <c r="C229" s="24" t="s">
        <v>138</v>
      </c>
      <c r="D229" s="45"/>
      <c r="E229" s="14">
        <f>F229+G229+J229+K229</f>
        <v>10933.428</v>
      </c>
      <c r="F229" s="13"/>
      <c r="G229" s="14">
        <f>H229+I229</f>
        <v>0</v>
      </c>
      <c r="H229" s="14"/>
      <c r="I229" s="14"/>
      <c r="J229" s="14">
        <f>J277</f>
        <v>10933.428</v>
      </c>
      <c r="K229" s="15">
        <v>0</v>
      </c>
      <c r="L229" s="5" t="s">
        <v>7</v>
      </c>
      <c r="M229" s="358"/>
    </row>
    <row r="230" spans="1:13" s="77" customFormat="1" ht="37.5" customHeight="1">
      <c r="A230" s="470"/>
      <c r="B230" s="335"/>
      <c r="C230" s="9" t="s">
        <v>156</v>
      </c>
      <c r="D230" s="4">
        <v>2018</v>
      </c>
      <c r="E230" s="14">
        <f>F230+G230+J230+K230</f>
        <v>28543.359</v>
      </c>
      <c r="F230" s="14"/>
      <c r="G230" s="14">
        <f>H230+I230</f>
        <v>0</v>
      </c>
      <c r="H230" s="14">
        <v>0</v>
      </c>
      <c r="I230" s="14">
        <v>0</v>
      </c>
      <c r="J230" s="14">
        <f>SUM(J231:J244)</f>
        <v>28543.359</v>
      </c>
      <c r="K230" s="41">
        <v>0</v>
      </c>
      <c r="L230" s="5"/>
      <c r="M230" s="358"/>
    </row>
    <row r="231" spans="1:13" s="77" customFormat="1" ht="24.75" customHeight="1">
      <c r="A231" s="470"/>
      <c r="B231" s="335"/>
      <c r="C231" s="9" t="s">
        <v>44</v>
      </c>
      <c r="D231" s="4"/>
      <c r="E231" s="14"/>
      <c r="F231" s="13"/>
      <c r="G231" s="13">
        <f aca="true" t="shared" si="37" ref="G231:G245">H231+I231</f>
        <v>0</v>
      </c>
      <c r="H231" s="13"/>
      <c r="I231" s="13"/>
      <c r="J231" s="13">
        <f>105.997+1553.242+30.82212-90.152</f>
        <v>1599.90912</v>
      </c>
      <c r="K231" s="15">
        <v>0</v>
      </c>
      <c r="L231" s="429" t="s">
        <v>7</v>
      </c>
      <c r="M231" s="358"/>
    </row>
    <row r="232" spans="1:13" s="77" customFormat="1" ht="24.75" customHeight="1">
      <c r="A232" s="470"/>
      <c r="B232" s="335"/>
      <c r="C232" s="9" t="s">
        <v>114</v>
      </c>
      <c r="D232" s="4"/>
      <c r="E232" s="14"/>
      <c r="F232" s="13"/>
      <c r="G232" s="13">
        <f t="shared" si="37"/>
        <v>0</v>
      </c>
      <c r="H232" s="13"/>
      <c r="I232" s="13"/>
      <c r="J232" s="16">
        <f>2647.00046-137.31778-3.0355</f>
        <v>2506.6471800000004</v>
      </c>
      <c r="K232" s="15">
        <v>0</v>
      </c>
      <c r="L232" s="429"/>
      <c r="M232" s="358"/>
    </row>
    <row r="233" spans="1:13" s="77" customFormat="1" ht="24.75" customHeight="1">
      <c r="A233" s="470"/>
      <c r="B233" s="335"/>
      <c r="C233" s="9" t="s">
        <v>116</v>
      </c>
      <c r="D233" s="4"/>
      <c r="E233" s="14"/>
      <c r="F233" s="13"/>
      <c r="G233" s="13">
        <f t="shared" si="37"/>
        <v>0</v>
      </c>
      <c r="H233" s="13"/>
      <c r="I233" s="13"/>
      <c r="J233" s="13">
        <f>19000-4993.27603+73.22078+64.097-230.15863</f>
        <v>13913.883119999999</v>
      </c>
      <c r="K233" s="15">
        <v>0</v>
      </c>
      <c r="L233" s="429"/>
      <c r="M233" s="358"/>
    </row>
    <row r="234" spans="1:13" s="77" customFormat="1" ht="24.75" customHeight="1">
      <c r="A234" s="470"/>
      <c r="B234" s="335"/>
      <c r="C234" s="9" t="s">
        <v>45</v>
      </c>
      <c r="D234" s="4"/>
      <c r="E234" s="14"/>
      <c r="F234" s="13"/>
      <c r="G234" s="13">
        <f t="shared" si="37"/>
        <v>0</v>
      </c>
      <c r="H234" s="13"/>
      <c r="I234" s="13"/>
      <c r="J234" s="13">
        <f>620.082-142.882</f>
        <v>477.2</v>
      </c>
      <c r="K234" s="15">
        <v>0</v>
      </c>
      <c r="L234" s="429"/>
      <c r="M234" s="358"/>
    </row>
    <row r="235" spans="1:13" s="77" customFormat="1" ht="24.75" customHeight="1">
      <c r="A235" s="470"/>
      <c r="B235" s="335"/>
      <c r="C235" s="9" t="s">
        <v>46</v>
      </c>
      <c r="D235" s="4"/>
      <c r="E235" s="14"/>
      <c r="F235" s="13"/>
      <c r="G235" s="13">
        <f t="shared" si="37"/>
        <v>0</v>
      </c>
      <c r="H235" s="13"/>
      <c r="I235" s="13"/>
      <c r="J235" s="13">
        <f>4446.112-526.952+1537.10326-314.81263</f>
        <v>5141.450629999999</v>
      </c>
      <c r="K235" s="15">
        <v>0</v>
      </c>
      <c r="L235" s="429"/>
      <c r="M235" s="358"/>
    </row>
    <row r="236" spans="1:13" s="77" customFormat="1" ht="24.75" customHeight="1">
      <c r="A236" s="470"/>
      <c r="B236" s="335"/>
      <c r="C236" s="9" t="s">
        <v>47</v>
      </c>
      <c r="D236" s="4"/>
      <c r="E236" s="14"/>
      <c r="F236" s="13"/>
      <c r="G236" s="13">
        <f t="shared" si="37"/>
        <v>0</v>
      </c>
      <c r="H236" s="13"/>
      <c r="I236" s="13"/>
      <c r="J236" s="13">
        <f>115.226+847.899+0.168</f>
        <v>963.293</v>
      </c>
      <c r="K236" s="15">
        <v>0</v>
      </c>
      <c r="L236" s="429"/>
      <c r="M236" s="358"/>
    </row>
    <row r="237" spans="1:13" s="77" customFormat="1" ht="24.75" customHeight="1">
      <c r="A237" s="470"/>
      <c r="B237" s="335"/>
      <c r="C237" s="9" t="s">
        <v>44</v>
      </c>
      <c r="D237" s="4"/>
      <c r="E237" s="14"/>
      <c r="F237" s="13"/>
      <c r="G237" s="13">
        <f t="shared" si="37"/>
        <v>0</v>
      </c>
      <c r="H237" s="13"/>
      <c r="I237" s="13"/>
      <c r="J237" s="13">
        <f>357.7+36.69771</f>
        <v>394.39770999999996</v>
      </c>
      <c r="K237" s="15">
        <v>0</v>
      </c>
      <c r="L237" s="6" t="s">
        <v>44</v>
      </c>
      <c r="M237" s="358"/>
    </row>
    <row r="238" spans="1:13" s="77" customFormat="1" ht="24.75" customHeight="1">
      <c r="A238" s="470"/>
      <c r="B238" s="335"/>
      <c r="C238" s="9" t="s">
        <v>114</v>
      </c>
      <c r="D238" s="4"/>
      <c r="E238" s="14"/>
      <c r="F238" s="13"/>
      <c r="G238" s="13">
        <f t="shared" si="37"/>
        <v>0</v>
      </c>
      <c r="H238" s="13"/>
      <c r="I238" s="13"/>
      <c r="J238" s="13">
        <f>105.779+362.898-106.319</f>
        <v>362.358</v>
      </c>
      <c r="K238" s="15">
        <v>0</v>
      </c>
      <c r="L238" s="6" t="s">
        <v>114</v>
      </c>
      <c r="M238" s="358"/>
    </row>
    <row r="239" spans="1:13" s="77" customFormat="1" ht="24.75" customHeight="1">
      <c r="A239" s="470"/>
      <c r="B239" s="335"/>
      <c r="C239" s="9" t="s">
        <v>45</v>
      </c>
      <c r="D239" s="4"/>
      <c r="E239" s="14"/>
      <c r="F239" s="13"/>
      <c r="G239" s="13">
        <f t="shared" si="37"/>
        <v>0</v>
      </c>
      <c r="H239" s="13"/>
      <c r="I239" s="13"/>
      <c r="J239" s="13">
        <v>0</v>
      </c>
      <c r="K239" s="15">
        <v>0</v>
      </c>
      <c r="L239" s="5"/>
      <c r="M239" s="358"/>
    </row>
    <row r="240" spans="1:13" s="77" customFormat="1" ht="24.75" customHeight="1">
      <c r="A240" s="470"/>
      <c r="B240" s="335"/>
      <c r="C240" s="9" t="s">
        <v>46</v>
      </c>
      <c r="D240" s="4"/>
      <c r="E240" s="14"/>
      <c r="F240" s="13"/>
      <c r="G240" s="13">
        <f t="shared" si="37"/>
        <v>0</v>
      </c>
      <c r="H240" s="13"/>
      <c r="I240" s="13"/>
      <c r="J240" s="13">
        <f>196.448+30+275.818-26.184</f>
        <v>476.08199999999994</v>
      </c>
      <c r="K240" s="15">
        <v>0</v>
      </c>
      <c r="L240" s="5" t="s">
        <v>49</v>
      </c>
      <c r="M240" s="358"/>
    </row>
    <row r="241" spans="1:13" s="77" customFormat="1" ht="24.75" customHeight="1">
      <c r="A241" s="470"/>
      <c r="B241" s="335"/>
      <c r="C241" s="9" t="s">
        <v>47</v>
      </c>
      <c r="D241" s="4"/>
      <c r="E241" s="14"/>
      <c r="F241" s="13"/>
      <c r="G241" s="13">
        <f t="shared" si="37"/>
        <v>0</v>
      </c>
      <c r="H241" s="13"/>
      <c r="I241" s="13"/>
      <c r="J241" s="13">
        <f>624.103+100+900+26.6</f>
        <v>1650.703</v>
      </c>
      <c r="K241" s="15">
        <v>0</v>
      </c>
      <c r="L241" s="5" t="s">
        <v>50</v>
      </c>
      <c r="M241" s="358"/>
    </row>
    <row r="242" spans="1:13" s="77" customFormat="1" ht="24.75" customHeight="1">
      <c r="A242" s="470"/>
      <c r="B242" s="335"/>
      <c r="C242" s="9"/>
      <c r="D242" s="4"/>
      <c r="E242" s="14"/>
      <c r="F242" s="13"/>
      <c r="G242" s="13">
        <f>H242+I242</f>
        <v>0</v>
      </c>
      <c r="H242" s="13"/>
      <c r="I242" s="13"/>
      <c r="J242" s="13">
        <v>0</v>
      </c>
      <c r="K242" s="15">
        <v>0</v>
      </c>
      <c r="L242" s="5" t="s">
        <v>51</v>
      </c>
      <c r="M242" s="358"/>
    </row>
    <row r="243" spans="1:13" s="77" customFormat="1" ht="24.75" customHeight="1">
      <c r="A243" s="470"/>
      <c r="B243" s="335"/>
      <c r="C243" s="9" t="s">
        <v>48</v>
      </c>
      <c r="D243" s="4"/>
      <c r="E243" s="14"/>
      <c r="F243" s="13"/>
      <c r="G243" s="13">
        <f t="shared" si="37"/>
        <v>0</v>
      </c>
      <c r="H243" s="13"/>
      <c r="I243" s="13"/>
      <c r="J243" s="13">
        <f>491.117-443.682+838.97984-0.0006</f>
        <v>886.41424</v>
      </c>
      <c r="K243" s="15">
        <v>0</v>
      </c>
      <c r="L243" s="5" t="s">
        <v>51</v>
      </c>
      <c r="M243" s="358"/>
    </row>
    <row r="244" spans="1:13" s="77" customFormat="1" ht="24.75" customHeight="1">
      <c r="A244" s="470"/>
      <c r="B244" s="335"/>
      <c r="C244" s="9" t="s">
        <v>48</v>
      </c>
      <c r="D244" s="4"/>
      <c r="E244" s="14"/>
      <c r="F244" s="13"/>
      <c r="G244" s="13">
        <f t="shared" si="37"/>
        <v>0</v>
      </c>
      <c r="H244" s="13"/>
      <c r="I244" s="13"/>
      <c r="J244" s="52">
        <f>147.021+24</f>
        <v>171.021</v>
      </c>
      <c r="K244" s="15">
        <v>0</v>
      </c>
      <c r="L244" s="5" t="s">
        <v>118</v>
      </c>
      <c r="M244" s="358"/>
    </row>
    <row r="245" spans="1:13" s="77" customFormat="1" ht="24.75" customHeight="1" thickBot="1">
      <c r="A245" s="470"/>
      <c r="B245" s="335"/>
      <c r="C245" s="128"/>
      <c r="D245" s="130"/>
      <c r="E245" s="147"/>
      <c r="F245" s="148"/>
      <c r="G245" s="148">
        <f t="shared" si="37"/>
        <v>0</v>
      </c>
      <c r="H245" s="148"/>
      <c r="I245" s="148"/>
      <c r="J245" s="149">
        <v>0</v>
      </c>
      <c r="K245" s="150">
        <v>0</v>
      </c>
      <c r="L245" s="5"/>
      <c r="M245" s="358"/>
    </row>
    <row r="246" spans="1:13" s="77" customFormat="1" ht="24.75" customHeight="1" thickBot="1">
      <c r="A246" s="470"/>
      <c r="B246" s="288"/>
      <c r="C246" s="154"/>
      <c r="D246" s="155">
        <v>2019</v>
      </c>
      <c r="E246" s="156">
        <f>F246+G246+J246+K246</f>
        <v>25876.25605</v>
      </c>
      <c r="F246" s="156">
        <f aca="true" t="shared" si="38" ref="F246:K246">SUM(F247:F260)</f>
        <v>0</v>
      </c>
      <c r="G246" s="156">
        <f t="shared" si="38"/>
        <v>0</v>
      </c>
      <c r="H246" s="156">
        <f t="shared" si="38"/>
        <v>0</v>
      </c>
      <c r="I246" s="156">
        <f t="shared" si="38"/>
        <v>0</v>
      </c>
      <c r="J246" s="156">
        <f t="shared" si="38"/>
        <v>25876.25605</v>
      </c>
      <c r="K246" s="157">
        <f t="shared" si="38"/>
        <v>0</v>
      </c>
      <c r="L246" s="146" t="s">
        <v>7</v>
      </c>
      <c r="M246" s="358"/>
    </row>
    <row r="247" spans="1:13" s="77" customFormat="1" ht="24.75" customHeight="1">
      <c r="A247" s="470"/>
      <c r="B247" s="335"/>
      <c r="C247" s="129" t="s">
        <v>133</v>
      </c>
      <c r="D247" s="131"/>
      <c r="E247" s="151">
        <f aca="true" t="shared" si="39" ref="E247:E268">F247+G247+J247+K247</f>
        <v>1159.92432</v>
      </c>
      <c r="F247" s="151"/>
      <c r="G247" s="151">
        <f aca="true" t="shared" si="40" ref="G247:G268">H247+I247</f>
        <v>0</v>
      </c>
      <c r="H247" s="151"/>
      <c r="I247" s="152"/>
      <c r="J247" s="151">
        <f>1350-190.07568</f>
        <v>1159.92432</v>
      </c>
      <c r="K247" s="153">
        <v>0</v>
      </c>
      <c r="L247" s="71" t="s">
        <v>7</v>
      </c>
      <c r="M247" s="358"/>
    </row>
    <row r="248" spans="1:13" s="77" customFormat="1" ht="24.75" customHeight="1">
      <c r="A248" s="470"/>
      <c r="B248" s="335"/>
      <c r="C248" s="9" t="s">
        <v>134</v>
      </c>
      <c r="D248" s="4"/>
      <c r="E248" s="13">
        <f t="shared" si="39"/>
        <v>17673.222</v>
      </c>
      <c r="F248" s="13"/>
      <c r="G248" s="13">
        <f t="shared" si="40"/>
        <v>0</v>
      </c>
      <c r="H248" s="13"/>
      <c r="I248" s="14"/>
      <c r="J248" s="13">
        <f>17794.4248-121.2028</f>
        <v>17673.222</v>
      </c>
      <c r="K248" s="15"/>
      <c r="L248" s="71" t="s">
        <v>7</v>
      </c>
      <c r="M248" s="358"/>
    </row>
    <row r="249" spans="1:13" s="77" customFormat="1" ht="24.75" customHeight="1">
      <c r="A249" s="470"/>
      <c r="B249" s="335"/>
      <c r="C249" s="9" t="s">
        <v>135</v>
      </c>
      <c r="D249" s="4"/>
      <c r="E249" s="13">
        <f t="shared" si="39"/>
        <v>0</v>
      </c>
      <c r="F249" s="13"/>
      <c r="G249" s="13">
        <f t="shared" si="40"/>
        <v>0</v>
      </c>
      <c r="H249" s="13"/>
      <c r="I249" s="14"/>
      <c r="J249" s="13">
        <f>500-159.431-340.569</f>
        <v>0</v>
      </c>
      <c r="K249" s="15"/>
      <c r="L249" s="71" t="s">
        <v>7</v>
      </c>
      <c r="M249" s="358"/>
    </row>
    <row r="250" spans="1:13" s="77" customFormat="1" ht="24.75" customHeight="1">
      <c r="A250" s="470"/>
      <c r="B250" s="335"/>
      <c r="C250" s="9" t="s">
        <v>113</v>
      </c>
      <c r="D250" s="4"/>
      <c r="E250" s="13">
        <f t="shared" si="39"/>
        <v>2109.1145</v>
      </c>
      <c r="F250" s="13"/>
      <c r="G250" s="13">
        <f t="shared" si="40"/>
        <v>0</v>
      </c>
      <c r="H250" s="13"/>
      <c r="I250" s="13">
        <v>0</v>
      </c>
      <c r="J250" s="252">
        <f>1797.73863+313.37887-2.003</f>
        <v>2109.1145</v>
      </c>
      <c r="K250" s="15"/>
      <c r="L250" s="71" t="s">
        <v>7</v>
      </c>
      <c r="M250" s="358"/>
    </row>
    <row r="251" spans="1:13" s="77" customFormat="1" ht="24.75" customHeight="1">
      <c r="A251" s="470"/>
      <c r="B251" s="335"/>
      <c r="C251" s="9" t="s">
        <v>113</v>
      </c>
      <c r="D251" s="4"/>
      <c r="E251" s="13">
        <f t="shared" si="39"/>
        <v>0</v>
      </c>
      <c r="F251" s="13"/>
      <c r="G251" s="13">
        <f t="shared" si="40"/>
        <v>0</v>
      </c>
      <c r="H251" s="13"/>
      <c r="I251" s="13"/>
      <c r="J251" s="13">
        <v>0</v>
      </c>
      <c r="K251" s="15"/>
      <c r="L251" s="71" t="s">
        <v>226</v>
      </c>
      <c r="M251" s="358"/>
    </row>
    <row r="252" spans="1:13" s="77" customFormat="1" ht="24.75" customHeight="1">
      <c r="A252" s="470"/>
      <c r="B252" s="335"/>
      <c r="C252" s="9" t="s">
        <v>50</v>
      </c>
      <c r="D252" s="4"/>
      <c r="E252" s="13">
        <f t="shared" si="39"/>
        <v>1830.5851200000002</v>
      </c>
      <c r="F252" s="13"/>
      <c r="G252" s="13">
        <f t="shared" si="40"/>
        <v>0</v>
      </c>
      <c r="H252" s="13"/>
      <c r="I252" s="14"/>
      <c r="J252" s="13">
        <f>1841.35064-10.76552</f>
        <v>1830.5851200000002</v>
      </c>
      <c r="K252" s="15"/>
      <c r="L252" s="71" t="s">
        <v>7</v>
      </c>
      <c r="M252" s="358"/>
    </row>
    <row r="253" spans="1:13" s="77" customFormat="1" ht="24.75" customHeight="1">
      <c r="A253" s="470"/>
      <c r="B253" s="335"/>
      <c r="C253" s="9" t="s">
        <v>227</v>
      </c>
      <c r="D253" s="4"/>
      <c r="E253" s="13">
        <f t="shared" si="39"/>
        <v>0</v>
      </c>
      <c r="F253" s="13"/>
      <c r="G253" s="13">
        <f t="shared" si="40"/>
        <v>0</v>
      </c>
      <c r="H253" s="13"/>
      <c r="I253" s="14"/>
      <c r="J253" s="13">
        <v>0</v>
      </c>
      <c r="K253" s="15"/>
      <c r="L253" s="71" t="s">
        <v>7</v>
      </c>
      <c r="M253" s="358"/>
    </row>
    <row r="254" spans="1:13" s="77" customFormat="1" ht="24.75" customHeight="1">
      <c r="A254" s="470"/>
      <c r="B254" s="335"/>
      <c r="C254" s="9" t="s">
        <v>133</v>
      </c>
      <c r="D254" s="4"/>
      <c r="E254" s="13">
        <f t="shared" si="39"/>
        <v>200</v>
      </c>
      <c r="F254" s="13"/>
      <c r="G254" s="13">
        <f t="shared" si="40"/>
        <v>0</v>
      </c>
      <c r="H254" s="13"/>
      <c r="I254" s="14"/>
      <c r="J254" s="13">
        <v>200</v>
      </c>
      <c r="K254" s="15"/>
      <c r="L254" s="71" t="s">
        <v>133</v>
      </c>
      <c r="M254" s="358"/>
    </row>
    <row r="255" spans="1:13" s="77" customFormat="1" ht="24.75" customHeight="1">
      <c r="A255" s="470"/>
      <c r="B255" s="335"/>
      <c r="C255" s="9" t="s">
        <v>134</v>
      </c>
      <c r="D255" s="4"/>
      <c r="E255" s="13">
        <f>F255+G255+J255+K255</f>
        <v>262.6042</v>
      </c>
      <c r="F255" s="13"/>
      <c r="G255" s="13">
        <f>H255+I255</f>
        <v>0</v>
      </c>
      <c r="H255" s="13"/>
      <c r="I255" s="14"/>
      <c r="J255" s="13">
        <f>340.773-78.1688</f>
        <v>262.6042</v>
      </c>
      <c r="K255" s="15"/>
      <c r="L255" s="71" t="s">
        <v>134</v>
      </c>
      <c r="M255" s="358"/>
    </row>
    <row r="256" spans="1:13" s="77" customFormat="1" ht="24.75" customHeight="1">
      <c r="A256" s="470"/>
      <c r="B256" s="335"/>
      <c r="C256" s="9" t="s">
        <v>135</v>
      </c>
      <c r="D256" s="4"/>
      <c r="E256" s="13">
        <f t="shared" si="39"/>
        <v>277.714</v>
      </c>
      <c r="F256" s="13"/>
      <c r="G256" s="13">
        <f t="shared" si="40"/>
        <v>0</v>
      </c>
      <c r="H256" s="13"/>
      <c r="I256" s="14"/>
      <c r="J256" s="13">
        <f>159.431+118.283</f>
        <v>277.714</v>
      </c>
      <c r="K256" s="15"/>
      <c r="L256" s="71" t="s">
        <v>135</v>
      </c>
      <c r="M256" s="358"/>
    </row>
    <row r="257" spans="1:13" s="77" customFormat="1" ht="24.75" customHeight="1">
      <c r="A257" s="470"/>
      <c r="B257" s="335"/>
      <c r="C257" s="9" t="s">
        <v>113</v>
      </c>
      <c r="D257" s="4"/>
      <c r="E257" s="13">
        <f t="shared" si="39"/>
        <v>1940.84825</v>
      </c>
      <c r="F257" s="13"/>
      <c r="G257" s="13">
        <f t="shared" si="40"/>
        <v>0</v>
      </c>
      <c r="H257" s="13"/>
      <c r="I257" s="14"/>
      <c r="J257" s="13">
        <f>2430.61771-489.76946</f>
        <v>1940.84825</v>
      </c>
      <c r="K257" s="15"/>
      <c r="L257" s="71" t="s">
        <v>158</v>
      </c>
      <c r="M257" s="358"/>
    </row>
    <row r="258" spans="1:13" s="77" customFormat="1" ht="24.75" customHeight="1">
      <c r="A258" s="470"/>
      <c r="B258" s="335"/>
      <c r="C258" s="9" t="s">
        <v>50</v>
      </c>
      <c r="D258" s="4"/>
      <c r="E258" s="13">
        <f t="shared" si="39"/>
        <v>422.24366</v>
      </c>
      <c r="F258" s="13"/>
      <c r="G258" s="13">
        <f t="shared" si="40"/>
        <v>0</v>
      </c>
      <c r="H258" s="13"/>
      <c r="I258" s="14"/>
      <c r="J258" s="13">
        <f>301.36966+120.874</f>
        <v>422.24366</v>
      </c>
      <c r="K258" s="15"/>
      <c r="L258" s="71" t="s">
        <v>157</v>
      </c>
      <c r="M258" s="358"/>
    </row>
    <row r="259" spans="1:13" s="77" customFormat="1" ht="24.75" customHeight="1">
      <c r="A259" s="470"/>
      <c r="B259" s="335"/>
      <c r="C259" s="9"/>
      <c r="D259" s="4"/>
      <c r="E259" s="13">
        <f t="shared" si="39"/>
        <v>0</v>
      </c>
      <c r="F259" s="13"/>
      <c r="G259" s="13">
        <f t="shared" si="40"/>
        <v>0</v>
      </c>
      <c r="H259" s="13"/>
      <c r="I259" s="14"/>
      <c r="J259" s="13">
        <v>0</v>
      </c>
      <c r="K259" s="15"/>
      <c r="L259" s="71"/>
      <c r="M259" s="358"/>
    </row>
    <row r="260" spans="1:13" s="77" customFormat="1" ht="24.75" customHeight="1" thickBot="1">
      <c r="A260" s="470"/>
      <c r="B260" s="336"/>
      <c r="C260" s="9"/>
      <c r="D260" s="130"/>
      <c r="E260" s="148">
        <f t="shared" si="39"/>
        <v>0</v>
      </c>
      <c r="F260" s="148"/>
      <c r="G260" s="148">
        <f t="shared" si="40"/>
        <v>0</v>
      </c>
      <c r="H260" s="148"/>
      <c r="I260" s="147"/>
      <c r="J260" s="148">
        <v>0</v>
      </c>
      <c r="K260" s="150"/>
      <c r="L260" s="71"/>
      <c r="M260" s="358"/>
    </row>
    <row r="261" spans="1:13" s="77" customFormat="1" ht="30" customHeight="1" thickBot="1">
      <c r="A261" s="470"/>
      <c r="B261" s="334" t="s">
        <v>153</v>
      </c>
      <c r="C261" s="158"/>
      <c r="D261" s="160">
        <v>2020</v>
      </c>
      <c r="E261" s="156">
        <f aca="true" t="shared" si="41" ref="E261:K261">E262</f>
        <v>11000</v>
      </c>
      <c r="F261" s="156">
        <f t="shared" si="41"/>
        <v>0</v>
      </c>
      <c r="G261" s="156">
        <f t="shared" si="41"/>
        <v>0</v>
      </c>
      <c r="H261" s="156">
        <f t="shared" si="41"/>
        <v>0</v>
      </c>
      <c r="I261" s="156">
        <f t="shared" si="41"/>
        <v>0</v>
      </c>
      <c r="J261" s="156">
        <f t="shared" si="41"/>
        <v>11000</v>
      </c>
      <c r="K261" s="157">
        <f t="shared" si="41"/>
        <v>0</v>
      </c>
      <c r="L261" s="159"/>
      <c r="M261" s="358"/>
    </row>
    <row r="262" spans="1:13" s="77" customFormat="1" ht="30" customHeight="1" thickBot="1">
      <c r="A262" s="470"/>
      <c r="B262" s="336"/>
      <c r="C262" s="9" t="s">
        <v>134</v>
      </c>
      <c r="D262" s="132"/>
      <c r="E262" s="161">
        <f t="shared" si="39"/>
        <v>11000</v>
      </c>
      <c r="F262" s="161"/>
      <c r="G262" s="161"/>
      <c r="H262" s="161"/>
      <c r="I262" s="162"/>
      <c r="J262" s="161">
        <v>11000</v>
      </c>
      <c r="K262" s="163"/>
      <c r="L262" s="71" t="s">
        <v>7</v>
      </c>
      <c r="M262" s="358"/>
    </row>
    <row r="263" spans="1:13" s="77" customFormat="1" ht="24.75" customHeight="1" thickBot="1">
      <c r="A263" s="470"/>
      <c r="B263" s="334" t="s">
        <v>153</v>
      </c>
      <c r="C263" s="158"/>
      <c r="D263" s="160">
        <v>2021</v>
      </c>
      <c r="E263" s="156">
        <f aca="true" t="shared" si="42" ref="E263:K263">E264</f>
        <v>22888.568</v>
      </c>
      <c r="F263" s="156">
        <f t="shared" si="42"/>
        <v>0</v>
      </c>
      <c r="G263" s="156">
        <f t="shared" si="42"/>
        <v>0</v>
      </c>
      <c r="H263" s="156">
        <f t="shared" si="42"/>
        <v>0</v>
      </c>
      <c r="I263" s="156">
        <f t="shared" si="42"/>
        <v>0</v>
      </c>
      <c r="J263" s="156">
        <f t="shared" si="42"/>
        <v>22888.568</v>
      </c>
      <c r="K263" s="157">
        <f t="shared" si="42"/>
        <v>0</v>
      </c>
      <c r="L263" s="159"/>
      <c r="M263" s="358"/>
    </row>
    <row r="264" spans="1:13" s="77" customFormat="1" ht="29.25" customHeight="1" thickBot="1">
      <c r="A264" s="470"/>
      <c r="B264" s="336"/>
      <c r="C264" s="9" t="s">
        <v>134</v>
      </c>
      <c r="D264" s="132"/>
      <c r="E264" s="161">
        <f t="shared" si="39"/>
        <v>22888.568</v>
      </c>
      <c r="F264" s="161"/>
      <c r="G264" s="161"/>
      <c r="H264" s="161"/>
      <c r="I264" s="162"/>
      <c r="J264" s="161">
        <v>22888.568</v>
      </c>
      <c r="K264" s="163"/>
      <c r="L264" s="71" t="s">
        <v>7</v>
      </c>
      <c r="M264" s="358"/>
    </row>
    <row r="265" spans="1:13" s="77" customFormat="1" ht="33" customHeight="1" thickBot="1">
      <c r="A265" s="470"/>
      <c r="B265" s="334" t="s">
        <v>153</v>
      </c>
      <c r="C265" s="158"/>
      <c r="D265" s="160">
        <v>2022</v>
      </c>
      <c r="E265" s="156">
        <f aca="true" t="shared" si="43" ref="E265:K265">E266</f>
        <v>20972.961</v>
      </c>
      <c r="F265" s="156">
        <f t="shared" si="43"/>
        <v>0</v>
      </c>
      <c r="G265" s="156">
        <f t="shared" si="43"/>
        <v>0</v>
      </c>
      <c r="H265" s="156">
        <f t="shared" si="43"/>
        <v>0</v>
      </c>
      <c r="I265" s="156">
        <f t="shared" si="43"/>
        <v>0</v>
      </c>
      <c r="J265" s="156">
        <f t="shared" si="43"/>
        <v>20972.961</v>
      </c>
      <c r="K265" s="157">
        <f t="shared" si="43"/>
        <v>0</v>
      </c>
      <c r="L265" s="159"/>
      <c r="M265" s="358"/>
    </row>
    <row r="266" spans="1:13" s="77" customFormat="1" ht="24.75" customHeight="1">
      <c r="A266" s="470"/>
      <c r="B266" s="336"/>
      <c r="C266" s="9" t="s">
        <v>134</v>
      </c>
      <c r="D266" s="131"/>
      <c r="E266" s="151">
        <f t="shared" si="39"/>
        <v>20972.961</v>
      </c>
      <c r="F266" s="151"/>
      <c r="G266" s="151"/>
      <c r="H266" s="151"/>
      <c r="I266" s="152"/>
      <c r="J266" s="151">
        <v>20972.961</v>
      </c>
      <c r="K266" s="153"/>
      <c r="L266" s="71" t="s">
        <v>7</v>
      </c>
      <c r="M266" s="358"/>
    </row>
    <row r="267" spans="1:13" s="77" customFormat="1" ht="24.75" customHeight="1">
      <c r="A267" s="470"/>
      <c r="B267" s="72"/>
      <c r="C267" s="9" t="s">
        <v>118</v>
      </c>
      <c r="D267" s="4">
        <v>2019</v>
      </c>
      <c r="E267" s="13">
        <f t="shared" si="39"/>
        <v>0</v>
      </c>
      <c r="F267" s="13"/>
      <c r="G267" s="13">
        <f t="shared" si="40"/>
        <v>0</v>
      </c>
      <c r="H267" s="13"/>
      <c r="I267" s="13"/>
      <c r="J267" s="14">
        <v>0</v>
      </c>
      <c r="K267" s="15"/>
      <c r="L267" s="76" t="s">
        <v>167</v>
      </c>
      <c r="M267" s="358"/>
    </row>
    <row r="268" spans="1:13" s="77" customFormat="1" ht="24.75" customHeight="1">
      <c r="A268" s="470"/>
      <c r="B268" s="411" t="s">
        <v>153</v>
      </c>
      <c r="C268" s="9"/>
      <c r="D268" s="4"/>
      <c r="E268" s="13">
        <f t="shared" si="39"/>
        <v>0</v>
      </c>
      <c r="F268" s="13"/>
      <c r="G268" s="13">
        <f t="shared" si="40"/>
        <v>0</v>
      </c>
      <c r="H268" s="13"/>
      <c r="I268" s="14"/>
      <c r="J268" s="13">
        <v>0</v>
      </c>
      <c r="K268" s="15"/>
      <c r="L268" s="71"/>
      <c r="M268" s="358"/>
    </row>
    <row r="269" spans="1:13" s="77" customFormat="1" ht="24.75" customHeight="1">
      <c r="A269" s="470"/>
      <c r="B269" s="412"/>
      <c r="C269" s="9" t="s">
        <v>156</v>
      </c>
      <c r="D269" s="4">
        <v>2020</v>
      </c>
      <c r="E269" s="14">
        <f>F269+G269+J269+K269</f>
        <v>0</v>
      </c>
      <c r="F269" s="13"/>
      <c r="G269" s="13">
        <f>H269+I269</f>
        <v>0</v>
      </c>
      <c r="H269" s="13"/>
      <c r="I269" s="14"/>
      <c r="J269" s="14">
        <v>0</v>
      </c>
      <c r="K269" s="15">
        <v>0</v>
      </c>
      <c r="L269" s="5" t="s">
        <v>7</v>
      </c>
      <c r="M269" s="358"/>
    </row>
    <row r="270" spans="1:13" s="77" customFormat="1" ht="24.75" customHeight="1">
      <c r="A270" s="470"/>
      <c r="B270" s="412"/>
      <c r="C270" s="9"/>
      <c r="D270" s="4">
        <v>2021</v>
      </c>
      <c r="E270" s="14">
        <f>F270+G270+J270+K270</f>
        <v>0</v>
      </c>
      <c r="F270" s="13"/>
      <c r="G270" s="13">
        <f>H270+I270</f>
        <v>0</v>
      </c>
      <c r="H270" s="13"/>
      <c r="I270" s="14"/>
      <c r="J270" s="14">
        <v>0</v>
      </c>
      <c r="K270" s="15">
        <v>0</v>
      </c>
      <c r="L270" s="5" t="s">
        <v>7</v>
      </c>
      <c r="M270" s="358"/>
    </row>
    <row r="271" spans="1:13" s="77" customFormat="1" ht="24.75" customHeight="1">
      <c r="A271" s="471"/>
      <c r="B271" s="413"/>
      <c r="C271" s="9"/>
      <c r="D271" s="4">
        <v>2022</v>
      </c>
      <c r="E271" s="14">
        <f aca="true" t="shared" si="44" ref="E271:E286">F271+G271+J271+K271</f>
        <v>0</v>
      </c>
      <c r="F271" s="13"/>
      <c r="G271" s="13">
        <f>H271+I271</f>
        <v>0</v>
      </c>
      <c r="H271" s="13"/>
      <c r="I271" s="14"/>
      <c r="J271" s="14">
        <v>0</v>
      </c>
      <c r="K271" s="15">
        <v>0</v>
      </c>
      <c r="L271" s="5" t="s">
        <v>7</v>
      </c>
      <c r="M271" s="358"/>
    </row>
    <row r="272" spans="1:13" s="77" customFormat="1" ht="24.75" customHeight="1">
      <c r="A272" s="372" t="s">
        <v>89</v>
      </c>
      <c r="B272" s="358" t="s">
        <v>139</v>
      </c>
      <c r="C272" s="9" t="s">
        <v>114</v>
      </c>
      <c r="D272" s="410">
        <v>2017</v>
      </c>
      <c r="E272" s="14">
        <f t="shared" si="44"/>
        <v>6400.301</v>
      </c>
      <c r="F272" s="13"/>
      <c r="G272" s="13">
        <f aca="true" t="shared" si="45" ref="G272:G278">H272+I272</f>
        <v>0</v>
      </c>
      <c r="H272" s="13"/>
      <c r="I272" s="14"/>
      <c r="J272" s="14">
        <v>6400.301</v>
      </c>
      <c r="K272" s="15">
        <v>0</v>
      </c>
      <c r="L272" s="5" t="s">
        <v>7</v>
      </c>
      <c r="M272" s="358"/>
    </row>
    <row r="273" spans="1:13" s="77" customFormat="1" ht="24.75" customHeight="1">
      <c r="A273" s="372"/>
      <c r="B273" s="358"/>
      <c r="C273" s="9" t="s">
        <v>45</v>
      </c>
      <c r="D273" s="410"/>
      <c r="E273" s="14">
        <f t="shared" si="44"/>
        <v>1458.533</v>
      </c>
      <c r="F273" s="13"/>
      <c r="G273" s="13">
        <f t="shared" si="45"/>
        <v>0</v>
      </c>
      <c r="H273" s="13"/>
      <c r="I273" s="14"/>
      <c r="J273" s="14">
        <v>1458.533</v>
      </c>
      <c r="K273" s="15">
        <v>0</v>
      </c>
      <c r="L273" s="5" t="s">
        <v>3</v>
      </c>
      <c r="M273" s="358"/>
    </row>
    <row r="274" spans="1:13" s="77" customFormat="1" ht="24.75" customHeight="1">
      <c r="A274" s="372" t="s">
        <v>90</v>
      </c>
      <c r="B274" s="358" t="s">
        <v>140</v>
      </c>
      <c r="C274" s="9" t="s">
        <v>46</v>
      </c>
      <c r="D274" s="379">
        <v>2017</v>
      </c>
      <c r="E274" s="14">
        <f t="shared" si="44"/>
        <v>2177.928</v>
      </c>
      <c r="F274" s="13"/>
      <c r="G274" s="18">
        <f t="shared" si="45"/>
        <v>0</v>
      </c>
      <c r="H274" s="18"/>
      <c r="I274" s="19"/>
      <c r="J274" s="19">
        <v>2177.928</v>
      </c>
      <c r="K274" s="20">
        <v>0</v>
      </c>
      <c r="L274" s="5" t="s">
        <v>7</v>
      </c>
      <c r="M274" s="358"/>
    </row>
    <row r="275" spans="1:13" s="77" customFormat="1" ht="36" customHeight="1">
      <c r="A275" s="372"/>
      <c r="B275" s="358"/>
      <c r="C275" s="9" t="s">
        <v>47</v>
      </c>
      <c r="D275" s="379"/>
      <c r="E275" s="14">
        <f t="shared" si="44"/>
        <v>431.162</v>
      </c>
      <c r="F275" s="13"/>
      <c r="G275" s="18">
        <f t="shared" si="45"/>
        <v>0</v>
      </c>
      <c r="H275" s="18"/>
      <c r="I275" s="19"/>
      <c r="J275" s="19">
        <v>431.162</v>
      </c>
      <c r="K275" s="20">
        <v>0</v>
      </c>
      <c r="L275" s="5" t="s">
        <v>3</v>
      </c>
      <c r="M275" s="358"/>
    </row>
    <row r="276" spans="1:13" s="77" customFormat="1" ht="24.75" customHeight="1">
      <c r="A276" s="372" t="s">
        <v>152</v>
      </c>
      <c r="B276" s="358" t="s">
        <v>91</v>
      </c>
      <c r="C276" s="9"/>
      <c r="D276" s="379">
        <v>2017</v>
      </c>
      <c r="E276" s="14">
        <f t="shared" si="44"/>
        <v>4135.29</v>
      </c>
      <c r="F276" s="13"/>
      <c r="G276" s="18">
        <f t="shared" si="45"/>
        <v>0</v>
      </c>
      <c r="H276" s="18"/>
      <c r="I276" s="19"/>
      <c r="J276" s="19">
        <v>4135.29</v>
      </c>
      <c r="K276" s="20">
        <v>0</v>
      </c>
      <c r="L276" s="429" t="s">
        <v>7</v>
      </c>
      <c r="M276" s="358"/>
    </row>
    <row r="277" spans="1:13" s="77" customFormat="1" ht="24.75" customHeight="1">
      <c r="A277" s="372"/>
      <c r="B277" s="358"/>
      <c r="C277" s="9" t="s">
        <v>156</v>
      </c>
      <c r="D277" s="379"/>
      <c r="E277" s="14">
        <f t="shared" si="44"/>
        <v>10933.428</v>
      </c>
      <c r="F277" s="13"/>
      <c r="G277" s="18">
        <f t="shared" si="45"/>
        <v>0</v>
      </c>
      <c r="H277" s="18"/>
      <c r="I277" s="19"/>
      <c r="J277" s="19">
        <v>10933.428</v>
      </c>
      <c r="K277" s="20">
        <v>0</v>
      </c>
      <c r="L277" s="429"/>
      <c r="M277" s="358"/>
    </row>
    <row r="278" spans="1:13" s="77" customFormat="1" ht="31.5" customHeight="1" thickBot="1">
      <c r="A278" s="372"/>
      <c r="B278" s="358"/>
      <c r="C278" s="9" t="s">
        <v>156</v>
      </c>
      <c r="D278" s="480"/>
      <c r="E278" s="147">
        <f t="shared" si="44"/>
        <v>897.642</v>
      </c>
      <c r="F278" s="148"/>
      <c r="G278" s="166">
        <f t="shared" si="45"/>
        <v>0</v>
      </c>
      <c r="H278" s="166"/>
      <c r="I278" s="167"/>
      <c r="J278" s="167">
        <v>897.642</v>
      </c>
      <c r="K278" s="168">
        <v>0</v>
      </c>
      <c r="L278" s="5" t="s">
        <v>3</v>
      </c>
      <c r="M278" s="358"/>
    </row>
    <row r="279" spans="1:13" s="77" customFormat="1" ht="24.75" customHeight="1" thickBot="1">
      <c r="A279" s="282" t="s">
        <v>108</v>
      </c>
      <c r="B279" s="371" t="s">
        <v>109</v>
      </c>
      <c r="C279" s="164"/>
      <c r="D279" s="174">
        <v>2018</v>
      </c>
      <c r="E279" s="156">
        <f>F279+J279+K279</f>
        <v>1130.874</v>
      </c>
      <c r="F279" s="175">
        <f aca="true" t="shared" si="46" ref="F279:K279">SUM(F280:F286)</f>
        <v>0</v>
      </c>
      <c r="G279" s="175">
        <f t="shared" si="46"/>
        <v>0</v>
      </c>
      <c r="H279" s="175">
        <f t="shared" si="46"/>
        <v>0</v>
      </c>
      <c r="I279" s="175">
        <f t="shared" si="46"/>
        <v>0</v>
      </c>
      <c r="J279" s="175">
        <f t="shared" si="46"/>
        <v>1130.874</v>
      </c>
      <c r="K279" s="176">
        <f t="shared" si="46"/>
        <v>0</v>
      </c>
      <c r="L279" s="165"/>
      <c r="M279" s="334" t="s">
        <v>115</v>
      </c>
    </row>
    <row r="280" spans="1:13" s="77" customFormat="1" ht="24.75" customHeight="1">
      <c r="A280" s="317"/>
      <c r="B280" s="319"/>
      <c r="C280" s="50"/>
      <c r="D280" s="169"/>
      <c r="E280" s="151">
        <f>F280+G280+J280+K280</f>
        <v>0</v>
      </c>
      <c r="F280" s="170"/>
      <c r="G280" s="171">
        <f aca="true" t="shared" si="47" ref="G280:G286">H280+I280</f>
        <v>0</v>
      </c>
      <c r="H280" s="172"/>
      <c r="I280" s="171">
        <v>0</v>
      </c>
      <c r="J280" s="171">
        <v>0</v>
      </c>
      <c r="K280" s="173"/>
      <c r="L280" s="56"/>
      <c r="M280" s="335"/>
    </row>
    <row r="281" spans="1:13" s="77" customFormat="1" ht="24.75" customHeight="1">
      <c r="A281" s="317"/>
      <c r="B281" s="319"/>
      <c r="C281" s="50" t="s">
        <v>110</v>
      </c>
      <c r="D281" s="8"/>
      <c r="E281" s="13">
        <f t="shared" si="44"/>
        <v>32.401</v>
      </c>
      <c r="F281" s="17"/>
      <c r="G281" s="18">
        <f t="shared" si="47"/>
        <v>0</v>
      </c>
      <c r="H281" s="18"/>
      <c r="I281" s="19"/>
      <c r="J281" s="13">
        <f>24+9.98-1.579</f>
        <v>32.401</v>
      </c>
      <c r="K281" s="20"/>
      <c r="L281" s="5" t="s">
        <v>110</v>
      </c>
      <c r="M281" s="335"/>
    </row>
    <row r="282" spans="1:13" s="77" customFormat="1" ht="24.75" customHeight="1">
      <c r="A282" s="317"/>
      <c r="B282" s="319"/>
      <c r="C282" s="50" t="s">
        <v>111</v>
      </c>
      <c r="D282" s="8"/>
      <c r="E282" s="13">
        <f t="shared" si="44"/>
        <v>202.33000000000004</v>
      </c>
      <c r="F282" s="17"/>
      <c r="G282" s="18">
        <f t="shared" si="47"/>
        <v>0</v>
      </c>
      <c r="H282" s="18"/>
      <c r="I282" s="19"/>
      <c r="J282" s="13">
        <f>304.8-99.63174-2.83826</f>
        <v>202.33000000000004</v>
      </c>
      <c r="K282" s="20"/>
      <c r="L282" s="5" t="s">
        <v>111</v>
      </c>
      <c r="M282" s="335"/>
    </row>
    <row r="283" spans="1:13" s="77" customFormat="1" ht="24.75" customHeight="1">
      <c r="A283" s="317"/>
      <c r="B283" s="319"/>
      <c r="C283" s="50" t="s">
        <v>112</v>
      </c>
      <c r="D283" s="8"/>
      <c r="E283" s="13">
        <f t="shared" si="44"/>
        <v>193.929</v>
      </c>
      <c r="F283" s="17"/>
      <c r="G283" s="18">
        <f t="shared" si="47"/>
        <v>0</v>
      </c>
      <c r="H283" s="18"/>
      <c r="I283" s="19"/>
      <c r="J283" s="18">
        <f>138.5+55.429</f>
        <v>193.929</v>
      </c>
      <c r="K283" s="20"/>
      <c r="L283" s="5" t="s">
        <v>112</v>
      </c>
      <c r="M283" s="335"/>
    </row>
    <row r="284" spans="1:13" s="77" customFormat="1" ht="24.75" customHeight="1">
      <c r="A284" s="317"/>
      <c r="B284" s="319"/>
      <c r="C284" s="50"/>
      <c r="D284" s="8"/>
      <c r="E284" s="13">
        <f t="shared" si="44"/>
        <v>522.2139999999999</v>
      </c>
      <c r="F284" s="17"/>
      <c r="G284" s="18">
        <f t="shared" si="47"/>
        <v>0</v>
      </c>
      <c r="H284" s="18"/>
      <c r="I284" s="19"/>
      <c r="J284" s="18">
        <f>874-134.152-30-249.634+62</f>
        <v>522.2139999999999</v>
      </c>
      <c r="K284" s="20"/>
      <c r="L284" s="5" t="s">
        <v>113</v>
      </c>
      <c r="M284" s="335"/>
    </row>
    <row r="285" spans="1:13" s="77" customFormat="1" ht="24.75" customHeight="1">
      <c r="A285" s="317"/>
      <c r="B285" s="319"/>
      <c r="C285" s="50"/>
      <c r="D285" s="8"/>
      <c r="E285" s="13">
        <f t="shared" si="44"/>
        <v>40</v>
      </c>
      <c r="F285" s="17"/>
      <c r="G285" s="18">
        <f t="shared" si="47"/>
        <v>0</v>
      </c>
      <c r="H285" s="18"/>
      <c r="I285" s="19"/>
      <c r="J285" s="18">
        <f>100-60</f>
        <v>40</v>
      </c>
      <c r="K285" s="20"/>
      <c r="L285" s="5" t="s">
        <v>50</v>
      </c>
      <c r="M285" s="335"/>
    </row>
    <row r="286" spans="1:13" s="77" customFormat="1" ht="24.75" customHeight="1" thickBot="1">
      <c r="A286" s="317"/>
      <c r="B286" s="319"/>
      <c r="C286" s="7"/>
      <c r="D286" s="57"/>
      <c r="E286" s="148">
        <f t="shared" si="44"/>
        <v>140</v>
      </c>
      <c r="F286" s="177"/>
      <c r="G286" s="166">
        <f t="shared" si="47"/>
        <v>0</v>
      </c>
      <c r="H286" s="166"/>
      <c r="I286" s="167"/>
      <c r="J286" s="166">
        <f>165-25</f>
        <v>140</v>
      </c>
      <c r="K286" s="168"/>
      <c r="L286" s="5" t="s">
        <v>48</v>
      </c>
      <c r="M286" s="336"/>
    </row>
    <row r="287" spans="1:13" s="77" customFormat="1" ht="26.25" customHeight="1" thickBot="1">
      <c r="A287" s="317"/>
      <c r="B287" s="319"/>
      <c r="C287" s="158"/>
      <c r="D287" s="174">
        <v>2019</v>
      </c>
      <c r="E287" s="175">
        <f aca="true" t="shared" si="48" ref="E287:K287">SUM(E288:E289)</f>
        <v>195.01735000000002</v>
      </c>
      <c r="F287" s="175">
        <f t="shared" si="48"/>
        <v>0</v>
      </c>
      <c r="G287" s="175">
        <f t="shared" si="48"/>
        <v>0</v>
      </c>
      <c r="H287" s="175">
        <f t="shared" si="48"/>
        <v>0</v>
      </c>
      <c r="I287" s="175">
        <f t="shared" si="48"/>
        <v>0</v>
      </c>
      <c r="J287" s="175">
        <f t="shared" si="48"/>
        <v>195.01735000000002</v>
      </c>
      <c r="K287" s="176">
        <f t="shared" si="48"/>
        <v>0</v>
      </c>
      <c r="L287" s="146"/>
      <c r="M287" s="358"/>
    </row>
    <row r="288" spans="1:13" s="77" customFormat="1" ht="33" customHeight="1">
      <c r="A288" s="317"/>
      <c r="B288" s="319"/>
      <c r="C288" s="50" t="s">
        <v>112</v>
      </c>
      <c r="D288" s="169">
        <v>2019</v>
      </c>
      <c r="E288" s="171">
        <f>F288+G288+J288</f>
        <v>126.36635000000001</v>
      </c>
      <c r="F288" s="171"/>
      <c r="G288" s="171">
        <f>H288+I288</f>
        <v>0</v>
      </c>
      <c r="H288" s="171"/>
      <c r="I288" s="171"/>
      <c r="J288" s="171">
        <f>400-273.63365</f>
        <v>126.36635000000001</v>
      </c>
      <c r="K288" s="172"/>
      <c r="L288" s="5" t="s">
        <v>112</v>
      </c>
      <c r="M288" s="358"/>
    </row>
    <row r="289" spans="1:13" s="77" customFormat="1" ht="33" customHeight="1">
      <c r="A289" s="317"/>
      <c r="B289" s="319"/>
      <c r="C289" s="9" t="s">
        <v>46</v>
      </c>
      <c r="D289" s="178">
        <v>2019</v>
      </c>
      <c r="E289" s="18">
        <f>F289+G289+J289</f>
        <v>68.651</v>
      </c>
      <c r="F289" s="18"/>
      <c r="G289" s="18">
        <f>H289+I289</f>
        <v>0</v>
      </c>
      <c r="H289" s="18"/>
      <c r="I289" s="18"/>
      <c r="J289" s="18">
        <v>68.651</v>
      </c>
      <c r="K289" s="19"/>
      <c r="L289" s="5" t="s">
        <v>46</v>
      </c>
      <c r="M289" s="358"/>
    </row>
    <row r="290" spans="1:13" s="77" customFormat="1" ht="36.75" customHeight="1">
      <c r="A290" s="317"/>
      <c r="B290" s="319"/>
      <c r="C290" s="9"/>
      <c r="D290" s="8">
        <v>2020</v>
      </c>
      <c r="E290" s="13">
        <f>F290+G290+K290</f>
        <v>0</v>
      </c>
      <c r="F290" s="13">
        <v>0</v>
      </c>
      <c r="G290" s="13">
        <v>0</v>
      </c>
      <c r="H290" s="13">
        <v>0</v>
      </c>
      <c r="I290" s="14">
        <v>0</v>
      </c>
      <c r="J290" s="13">
        <v>0</v>
      </c>
      <c r="K290" s="15">
        <v>0</v>
      </c>
      <c r="L290" s="5"/>
      <c r="M290" s="358"/>
    </row>
    <row r="291" spans="1:13" s="77" customFormat="1" ht="36.75" customHeight="1">
      <c r="A291" s="317"/>
      <c r="B291" s="319"/>
      <c r="C291" s="9"/>
      <c r="D291" s="8">
        <v>2021</v>
      </c>
      <c r="E291" s="13">
        <f>F291+G291+K291</f>
        <v>0</v>
      </c>
      <c r="F291" s="13">
        <v>0</v>
      </c>
      <c r="G291" s="13">
        <f>H291+I291</f>
        <v>0</v>
      </c>
      <c r="H291" s="13">
        <v>0</v>
      </c>
      <c r="I291" s="13">
        <v>0</v>
      </c>
      <c r="J291" s="13">
        <v>0</v>
      </c>
      <c r="K291" s="15">
        <v>0</v>
      </c>
      <c r="L291" s="5"/>
      <c r="M291" s="358"/>
    </row>
    <row r="292" spans="1:13" s="77" customFormat="1" ht="35.25" customHeight="1" thickBot="1">
      <c r="A292" s="283"/>
      <c r="B292" s="320"/>
      <c r="C292" s="9"/>
      <c r="D292" s="57">
        <v>2022</v>
      </c>
      <c r="E292" s="148">
        <f>F292+G292+K292</f>
        <v>0</v>
      </c>
      <c r="F292" s="148">
        <v>0</v>
      </c>
      <c r="G292" s="148">
        <f>H292+I292</f>
        <v>0</v>
      </c>
      <c r="H292" s="148">
        <v>0</v>
      </c>
      <c r="I292" s="148">
        <v>0</v>
      </c>
      <c r="J292" s="148">
        <v>0</v>
      </c>
      <c r="K292" s="150">
        <v>0</v>
      </c>
      <c r="L292" s="5"/>
      <c r="M292" s="358"/>
    </row>
    <row r="293" spans="1:13" s="77" customFormat="1" ht="28.5" customHeight="1" thickBot="1">
      <c r="A293" s="372" t="s">
        <v>122</v>
      </c>
      <c r="B293" s="358" t="s">
        <v>214</v>
      </c>
      <c r="C293" s="158"/>
      <c r="D293" s="174">
        <v>2019</v>
      </c>
      <c r="E293" s="175">
        <f aca="true" t="shared" si="49" ref="E293:K293">E297+E298+E299+E300+E301+E302+E303+E304</f>
        <v>498</v>
      </c>
      <c r="F293" s="175">
        <f t="shared" si="49"/>
        <v>0</v>
      </c>
      <c r="G293" s="175">
        <f t="shared" si="49"/>
        <v>473.00000000000006</v>
      </c>
      <c r="H293" s="175">
        <f t="shared" si="49"/>
        <v>0</v>
      </c>
      <c r="I293" s="175">
        <f t="shared" si="49"/>
        <v>473.00000000000006</v>
      </c>
      <c r="J293" s="175">
        <f t="shared" si="49"/>
        <v>25</v>
      </c>
      <c r="K293" s="176">
        <f t="shared" si="49"/>
        <v>0</v>
      </c>
      <c r="L293" s="146"/>
      <c r="M293" s="24"/>
    </row>
    <row r="294" spans="1:13" s="77" customFormat="1" ht="33" customHeight="1">
      <c r="A294" s="372"/>
      <c r="B294" s="358"/>
      <c r="C294" s="9"/>
      <c r="D294" s="81">
        <v>2020</v>
      </c>
      <c r="E294" s="151">
        <v>0</v>
      </c>
      <c r="F294" s="151">
        <v>0</v>
      </c>
      <c r="G294" s="151">
        <v>0</v>
      </c>
      <c r="H294" s="151">
        <v>0</v>
      </c>
      <c r="I294" s="151">
        <v>0</v>
      </c>
      <c r="J294" s="151">
        <v>0</v>
      </c>
      <c r="K294" s="153">
        <v>0</v>
      </c>
      <c r="L294" s="5"/>
      <c r="M294" s="24"/>
    </row>
    <row r="295" spans="1:13" s="77" customFormat="1" ht="31.5" customHeight="1">
      <c r="A295" s="372"/>
      <c r="B295" s="358"/>
      <c r="C295" s="9"/>
      <c r="D295" s="8">
        <v>2021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5">
        <v>0</v>
      </c>
      <c r="L295" s="5"/>
      <c r="M295" s="24"/>
    </row>
    <row r="296" spans="1:13" s="77" customFormat="1" ht="25.5" customHeight="1">
      <c r="A296" s="372"/>
      <c r="B296" s="358"/>
      <c r="C296" s="9"/>
      <c r="D296" s="8">
        <v>2022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5">
        <v>0</v>
      </c>
      <c r="L296" s="5"/>
      <c r="M296" s="24"/>
    </row>
    <row r="297" spans="1:13" s="77" customFormat="1" ht="43.5" customHeight="1">
      <c r="A297" s="372" t="s">
        <v>121</v>
      </c>
      <c r="B297" s="105" t="s">
        <v>181</v>
      </c>
      <c r="C297" s="6" t="s">
        <v>46</v>
      </c>
      <c r="D297" s="1">
        <v>2019</v>
      </c>
      <c r="E297" s="13">
        <f aca="true" t="shared" si="50" ref="E297:E304">F297+G297+J297+K297</f>
        <v>8.6</v>
      </c>
      <c r="F297" s="13"/>
      <c r="G297" s="13">
        <f>H297+I297</f>
        <v>0</v>
      </c>
      <c r="H297" s="13"/>
      <c r="I297" s="13">
        <v>0</v>
      </c>
      <c r="J297" s="13">
        <v>8.6</v>
      </c>
      <c r="K297" s="15">
        <v>0</v>
      </c>
      <c r="L297" s="5" t="s">
        <v>113</v>
      </c>
      <c r="M297" s="358"/>
    </row>
    <row r="298" spans="1:13" s="77" customFormat="1" ht="54" customHeight="1">
      <c r="A298" s="372"/>
      <c r="B298" s="105" t="s">
        <v>142</v>
      </c>
      <c r="C298" s="6" t="s">
        <v>47</v>
      </c>
      <c r="D298" s="1">
        <v>2019</v>
      </c>
      <c r="E298" s="13">
        <f t="shared" si="50"/>
        <v>15.4</v>
      </c>
      <c r="F298" s="13"/>
      <c r="G298" s="13">
        <f aca="true" t="shared" si="51" ref="G298:G304">H298+I298</f>
        <v>15.4</v>
      </c>
      <c r="H298" s="13"/>
      <c r="I298" s="13">
        <v>15.4</v>
      </c>
      <c r="J298" s="13">
        <v>0</v>
      </c>
      <c r="K298" s="15">
        <v>0</v>
      </c>
      <c r="L298" s="5" t="s">
        <v>50</v>
      </c>
      <c r="M298" s="358"/>
    </row>
    <row r="299" spans="1:13" s="77" customFormat="1" ht="82.5" customHeight="1">
      <c r="A299" s="82" t="s">
        <v>123</v>
      </c>
      <c r="B299" s="24" t="s">
        <v>182</v>
      </c>
      <c r="C299" s="6" t="s">
        <v>46</v>
      </c>
      <c r="D299" s="1">
        <v>2019</v>
      </c>
      <c r="E299" s="13">
        <f t="shared" si="50"/>
        <v>137.612</v>
      </c>
      <c r="F299" s="13"/>
      <c r="G299" s="13">
        <f t="shared" si="51"/>
        <v>137.612</v>
      </c>
      <c r="H299" s="13"/>
      <c r="I299" s="13">
        <v>137.612</v>
      </c>
      <c r="J299" s="13">
        <v>0</v>
      </c>
      <c r="K299" s="15">
        <v>0</v>
      </c>
      <c r="L299" s="5" t="s">
        <v>113</v>
      </c>
      <c r="M299" s="24" t="s">
        <v>128</v>
      </c>
    </row>
    <row r="300" spans="1:13" s="77" customFormat="1" ht="77.25" customHeight="1">
      <c r="A300" s="82" t="s">
        <v>124</v>
      </c>
      <c r="B300" s="24" t="s">
        <v>183</v>
      </c>
      <c r="C300" s="6" t="s">
        <v>46</v>
      </c>
      <c r="D300" s="1">
        <v>2019</v>
      </c>
      <c r="E300" s="13">
        <f t="shared" si="50"/>
        <v>131.693</v>
      </c>
      <c r="F300" s="13"/>
      <c r="G300" s="13">
        <f>H300+I300</f>
        <v>131.693</v>
      </c>
      <c r="H300" s="13"/>
      <c r="I300" s="13">
        <f>120.581+11.112</f>
        <v>131.693</v>
      </c>
      <c r="J300" s="13">
        <v>0</v>
      </c>
      <c r="K300" s="15">
        <v>0</v>
      </c>
      <c r="L300" s="5" t="s">
        <v>113</v>
      </c>
      <c r="M300" s="358" t="s">
        <v>129</v>
      </c>
    </row>
    <row r="301" spans="1:13" s="77" customFormat="1" ht="75" customHeight="1">
      <c r="A301" s="372" t="s">
        <v>125</v>
      </c>
      <c r="B301" s="24" t="s">
        <v>184</v>
      </c>
      <c r="C301" s="6" t="s">
        <v>46</v>
      </c>
      <c r="D301" s="1">
        <v>2019</v>
      </c>
      <c r="E301" s="13">
        <f t="shared" si="50"/>
        <v>44.018</v>
      </c>
      <c r="F301" s="13"/>
      <c r="G301" s="13">
        <f t="shared" si="51"/>
        <v>36.039</v>
      </c>
      <c r="H301" s="13"/>
      <c r="I301" s="13">
        <f>44.018-7.979</f>
        <v>36.039</v>
      </c>
      <c r="J301" s="13">
        <f>16.579-8.6</f>
        <v>7.979000000000001</v>
      </c>
      <c r="K301" s="15">
        <v>0</v>
      </c>
      <c r="L301" s="5" t="s">
        <v>113</v>
      </c>
      <c r="M301" s="358"/>
    </row>
    <row r="302" spans="1:13" s="77" customFormat="1" ht="73.5" customHeight="1">
      <c r="A302" s="372"/>
      <c r="B302" s="24" t="s">
        <v>185</v>
      </c>
      <c r="C302" s="6" t="s">
        <v>46</v>
      </c>
      <c r="D302" s="1">
        <v>2019</v>
      </c>
      <c r="E302" s="13">
        <f t="shared" si="50"/>
        <v>7.656000000000001</v>
      </c>
      <c r="F302" s="13"/>
      <c r="G302" s="13">
        <f t="shared" si="51"/>
        <v>7.656000000000001</v>
      </c>
      <c r="H302" s="13"/>
      <c r="I302" s="13">
        <f>18.768-11.112</f>
        <v>7.656000000000001</v>
      </c>
      <c r="J302" s="13"/>
      <c r="K302" s="15"/>
      <c r="L302" s="5" t="s">
        <v>187</v>
      </c>
      <c r="M302" s="24"/>
    </row>
    <row r="303" spans="1:13" s="77" customFormat="1" ht="90" customHeight="1">
      <c r="A303" s="372"/>
      <c r="B303" s="24" t="s">
        <v>141</v>
      </c>
      <c r="C303" s="6" t="s">
        <v>47</v>
      </c>
      <c r="D303" s="1">
        <v>2019</v>
      </c>
      <c r="E303" s="13">
        <f t="shared" si="50"/>
        <v>10.74</v>
      </c>
      <c r="F303" s="13"/>
      <c r="G303" s="13">
        <f t="shared" si="51"/>
        <v>10.74</v>
      </c>
      <c r="H303" s="13"/>
      <c r="I303" s="13">
        <v>10.74</v>
      </c>
      <c r="J303" s="13">
        <v>0</v>
      </c>
      <c r="K303" s="15">
        <v>0</v>
      </c>
      <c r="L303" s="5" t="s">
        <v>50</v>
      </c>
      <c r="M303" s="24" t="s">
        <v>130</v>
      </c>
    </row>
    <row r="304" spans="1:13" s="77" customFormat="1" ht="55.5" customHeight="1">
      <c r="A304" s="82" t="s">
        <v>126</v>
      </c>
      <c r="B304" s="24" t="s">
        <v>127</v>
      </c>
      <c r="C304" s="6" t="s">
        <v>47</v>
      </c>
      <c r="D304" s="1">
        <v>2019</v>
      </c>
      <c r="E304" s="13">
        <f t="shared" si="50"/>
        <v>142.281</v>
      </c>
      <c r="F304" s="13"/>
      <c r="G304" s="13">
        <f t="shared" si="51"/>
        <v>133.86</v>
      </c>
      <c r="H304" s="13"/>
      <c r="I304" s="13">
        <v>133.86</v>
      </c>
      <c r="J304" s="13">
        <v>8.421</v>
      </c>
      <c r="K304" s="15">
        <v>0</v>
      </c>
      <c r="L304" s="5" t="s">
        <v>50</v>
      </c>
      <c r="M304" s="24" t="s">
        <v>131</v>
      </c>
    </row>
    <row r="305" spans="1:13" s="89" customFormat="1" ht="89.25" customHeight="1">
      <c r="A305" s="92" t="s">
        <v>168</v>
      </c>
      <c r="B305" s="424" t="s">
        <v>165</v>
      </c>
      <c r="C305" s="425"/>
      <c r="D305" s="4">
        <v>2019</v>
      </c>
      <c r="E305" s="14">
        <f aca="true" t="shared" si="52" ref="E305:K305">E306+E307</f>
        <v>1013.9999999999999</v>
      </c>
      <c r="F305" s="14">
        <f t="shared" si="52"/>
        <v>0</v>
      </c>
      <c r="G305" s="14">
        <f t="shared" si="52"/>
        <v>963</v>
      </c>
      <c r="H305" s="14">
        <f t="shared" si="52"/>
        <v>0</v>
      </c>
      <c r="I305" s="14">
        <f t="shared" si="52"/>
        <v>963</v>
      </c>
      <c r="J305" s="14">
        <f t="shared" si="52"/>
        <v>51</v>
      </c>
      <c r="K305" s="14">
        <f t="shared" si="52"/>
        <v>0</v>
      </c>
      <c r="L305" s="56"/>
      <c r="M305" s="101"/>
    </row>
    <row r="306" spans="1:13" s="77" customFormat="1" ht="71.25" customHeight="1">
      <c r="A306" s="82" t="s">
        <v>169</v>
      </c>
      <c r="B306" s="376" t="s">
        <v>165</v>
      </c>
      <c r="C306" s="376"/>
      <c r="D306" s="102">
        <v>2019</v>
      </c>
      <c r="E306" s="27">
        <f>F306+G306+J306+K306</f>
        <v>800.0321799999999</v>
      </c>
      <c r="F306" s="93"/>
      <c r="G306" s="27">
        <f>H306+I306</f>
        <v>760.03</v>
      </c>
      <c r="H306" s="94"/>
      <c r="I306" s="228">
        <f>765.502-5.472</f>
        <v>760.03</v>
      </c>
      <c r="J306" s="229">
        <f>40.2898-0.28762</f>
        <v>40.00218</v>
      </c>
      <c r="K306" s="95"/>
      <c r="L306" s="96" t="s">
        <v>51</v>
      </c>
      <c r="M306" s="438" t="s">
        <v>166</v>
      </c>
    </row>
    <row r="307" spans="1:13" s="77" customFormat="1" ht="74.25" customHeight="1">
      <c r="A307" s="103" t="s">
        <v>170</v>
      </c>
      <c r="B307" s="292" t="s">
        <v>165</v>
      </c>
      <c r="C307" s="293"/>
      <c r="D307" s="102">
        <v>2019</v>
      </c>
      <c r="E307" s="73">
        <f>F307+G307+J307+K307</f>
        <v>213.96782</v>
      </c>
      <c r="F307" s="97"/>
      <c r="G307" s="73">
        <f>H307+I307</f>
        <v>202.97</v>
      </c>
      <c r="H307" s="98"/>
      <c r="I307" s="230">
        <f>197.498+5.472</f>
        <v>202.97</v>
      </c>
      <c r="J307" s="231">
        <f>10.7102+0.28762</f>
        <v>10.99782</v>
      </c>
      <c r="K307" s="99"/>
      <c r="L307" s="100" t="s">
        <v>177</v>
      </c>
      <c r="M307" s="411"/>
    </row>
    <row r="308" spans="1:13" s="77" customFormat="1" ht="24.75" customHeight="1">
      <c r="A308" s="365" t="s">
        <v>171</v>
      </c>
      <c r="B308" s="361" t="s">
        <v>221</v>
      </c>
      <c r="C308" s="362"/>
      <c r="D308" s="130">
        <v>2020</v>
      </c>
      <c r="E308" s="207">
        <f aca="true" t="shared" si="53" ref="E308:K308">E311+E312+E313+++++E315+E321+E322+E323+E324</f>
        <v>0</v>
      </c>
      <c r="F308" s="207">
        <f t="shared" si="53"/>
        <v>0</v>
      </c>
      <c r="G308" s="207">
        <f t="shared" si="53"/>
        <v>0</v>
      </c>
      <c r="H308" s="207">
        <f t="shared" si="53"/>
        <v>0</v>
      </c>
      <c r="I308" s="207">
        <f t="shared" si="53"/>
        <v>0</v>
      </c>
      <c r="J308" s="207">
        <f t="shared" si="53"/>
        <v>0</v>
      </c>
      <c r="K308" s="207">
        <f t="shared" si="53"/>
        <v>0</v>
      </c>
      <c r="L308" s="100"/>
      <c r="M308" s="128">
        <v>1377</v>
      </c>
    </row>
    <row r="309" spans="1:13" s="77" customFormat="1" ht="24.75" customHeight="1">
      <c r="A309" s="366"/>
      <c r="B309" s="363"/>
      <c r="C309" s="364"/>
      <c r="D309" s="130">
        <v>2021</v>
      </c>
      <c r="E309" s="207">
        <f aca="true" t="shared" si="54" ref="E309:K309">E314+E316+E317+E318+E319+E320</f>
        <v>0</v>
      </c>
      <c r="F309" s="207">
        <f t="shared" si="54"/>
        <v>0</v>
      </c>
      <c r="G309" s="207">
        <f t="shared" si="54"/>
        <v>0</v>
      </c>
      <c r="H309" s="207">
        <f t="shared" si="54"/>
        <v>0</v>
      </c>
      <c r="I309" s="207">
        <f t="shared" si="54"/>
        <v>0</v>
      </c>
      <c r="J309" s="207">
        <f t="shared" si="54"/>
        <v>0</v>
      </c>
      <c r="K309" s="207">
        <f t="shared" si="54"/>
        <v>0</v>
      </c>
      <c r="L309" s="100"/>
      <c r="M309" s="128">
        <v>1630</v>
      </c>
    </row>
    <row r="310" spans="1:13" s="77" customFormat="1" ht="24.75" customHeight="1" thickBot="1">
      <c r="A310" s="366"/>
      <c r="B310" s="363"/>
      <c r="C310" s="364"/>
      <c r="D310" s="130">
        <v>2022</v>
      </c>
      <c r="E310" s="207">
        <v>0</v>
      </c>
      <c r="F310" s="207">
        <v>0</v>
      </c>
      <c r="G310" s="207">
        <v>0</v>
      </c>
      <c r="H310" s="207">
        <v>0</v>
      </c>
      <c r="I310" s="207">
        <v>0</v>
      </c>
      <c r="J310" s="207">
        <v>0</v>
      </c>
      <c r="K310" s="207">
        <v>0</v>
      </c>
      <c r="L310" s="100"/>
      <c r="M310" s="128"/>
    </row>
    <row r="311" spans="1:14" s="77" customFormat="1" ht="24.75" customHeight="1">
      <c r="A311" s="368" t="s">
        <v>215</v>
      </c>
      <c r="B311" s="318" t="s">
        <v>188</v>
      </c>
      <c r="C311" s="188" t="s">
        <v>189</v>
      </c>
      <c r="D311" s="209">
        <v>2020</v>
      </c>
      <c r="E311" s="210"/>
      <c r="F311" s="210"/>
      <c r="G311" s="210"/>
      <c r="H311" s="210"/>
      <c r="I311" s="210"/>
      <c r="J311" s="210">
        <v>0</v>
      </c>
      <c r="K311" s="211"/>
      <c r="L311" s="212" t="s">
        <v>189</v>
      </c>
      <c r="M311" s="64"/>
      <c r="N311" s="64" t="s">
        <v>190</v>
      </c>
    </row>
    <row r="312" spans="1:14" s="77" customFormat="1" ht="24.75" customHeight="1">
      <c r="A312" s="369"/>
      <c r="B312" s="319"/>
      <c r="C312" s="6" t="s">
        <v>191</v>
      </c>
      <c r="D312" s="1">
        <v>2020</v>
      </c>
      <c r="E312" s="13"/>
      <c r="F312" s="13"/>
      <c r="G312" s="13"/>
      <c r="H312" s="13"/>
      <c r="I312" s="13"/>
      <c r="J312" s="13">
        <v>0</v>
      </c>
      <c r="K312" s="15"/>
      <c r="L312" s="5" t="s">
        <v>191</v>
      </c>
      <c r="M312" s="65"/>
      <c r="N312" s="65" t="s">
        <v>193</v>
      </c>
    </row>
    <row r="313" spans="1:14" s="77" customFormat="1" ht="24.75" customHeight="1">
      <c r="A313" s="369"/>
      <c r="B313" s="319"/>
      <c r="C313" s="6" t="s">
        <v>192</v>
      </c>
      <c r="D313" s="1">
        <v>2020</v>
      </c>
      <c r="E313" s="13"/>
      <c r="F313" s="13"/>
      <c r="G313" s="13"/>
      <c r="H313" s="13"/>
      <c r="I313" s="13"/>
      <c r="J313" s="13">
        <v>0</v>
      </c>
      <c r="K313" s="15"/>
      <c r="L313" s="5" t="s">
        <v>192</v>
      </c>
      <c r="M313" s="65"/>
      <c r="N313" s="65" t="s">
        <v>194</v>
      </c>
    </row>
    <row r="314" spans="1:14" s="77" customFormat="1" ht="24.75" customHeight="1" thickBot="1">
      <c r="A314" s="370"/>
      <c r="B314" s="367"/>
      <c r="C314" s="213" t="s">
        <v>202</v>
      </c>
      <c r="D314" s="214">
        <v>2021</v>
      </c>
      <c r="E314" s="215"/>
      <c r="F314" s="215"/>
      <c r="G314" s="215"/>
      <c r="H314" s="215"/>
      <c r="I314" s="215"/>
      <c r="J314" s="215">
        <v>0</v>
      </c>
      <c r="K314" s="216"/>
      <c r="L314" s="217" t="s">
        <v>202</v>
      </c>
      <c r="M314" s="69"/>
      <c r="N314" s="69" t="s">
        <v>211</v>
      </c>
    </row>
    <row r="315" spans="1:14" s="77" customFormat="1" ht="24.75" customHeight="1">
      <c r="A315" s="456" t="s">
        <v>216</v>
      </c>
      <c r="B315" s="318" t="s">
        <v>195</v>
      </c>
      <c r="C315" s="188" t="s">
        <v>192</v>
      </c>
      <c r="D315" s="209">
        <v>2020</v>
      </c>
      <c r="E315" s="210"/>
      <c r="F315" s="210"/>
      <c r="G315" s="210"/>
      <c r="H315" s="210"/>
      <c r="I315" s="210"/>
      <c r="J315" s="210">
        <v>0</v>
      </c>
      <c r="K315" s="211"/>
      <c r="L315" s="212" t="s">
        <v>192</v>
      </c>
      <c r="M315" s="64"/>
      <c r="N315" s="64" t="s">
        <v>197</v>
      </c>
    </row>
    <row r="316" spans="1:14" s="77" customFormat="1" ht="24.75" customHeight="1">
      <c r="A316" s="457"/>
      <c r="B316" s="319"/>
      <c r="C316" s="6" t="s">
        <v>208</v>
      </c>
      <c r="D316" s="1">
        <v>2021</v>
      </c>
      <c r="E316" s="13"/>
      <c r="F316" s="13"/>
      <c r="G316" s="13"/>
      <c r="H316" s="13"/>
      <c r="I316" s="13"/>
      <c r="J316" s="13">
        <v>0</v>
      </c>
      <c r="K316" s="15"/>
      <c r="L316" s="5" t="s">
        <v>208</v>
      </c>
      <c r="M316" s="65"/>
      <c r="N316" s="65" t="s">
        <v>209</v>
      </c>
    </row>
    <row r="317" spans="1:14" s="77" customFormat="1" ht="24.75" customHeight="1">
      <c r="A317" s="457"/>
      <c r="B317" s="319"/>
      <c r="C317" s="6" t="s">
        <v>48</v>
      </c>
      <c r="D317" s="1">
        <v>2021</v>
      </c>
      <c r="E317" s="13"/>
      <c r="F317" s="13"/>
      <c r="G317" s="13"/>
      <c r="H317" s="13"/>
      <c r="I317" s="13"/>
      <c r="J317" s="13">
        <v>0</v>
      </c>
      <c r="K317" s="15"/>
      <c r="L317" s="5" t="s">
        <v>210</v>
      </c>
      <c r="M317" s="65"/>
      <c r="N317" s="65" t="s">
        <v>212</v>
      </c>
    </row>
    <row r="318" spans="1:14" s="77" customFormat="1" ht="24.75" customHeight="1">
      <c r="A318" s="457"/>
      <c r="B318" s="319"/>
      <c r="C318" s="6" t="s">
        <v>158</v>
      </c>
      <c r="D318" s="1">
        <v>2021</v>
      </c>
      <c r="E318" s="13"/>
      <c r="F318" s="13"/>
      <c r="G318" s="13"/>
      <c r="H318" s="13"/>
      <c r="I318" s="13"/>
      <c r="J318" s="13">
        <v>0</v>
      </c>
      <c r="K318" s="15"/>
      <c r="L318" s="5" t="s">
        <v>158</v>
      </c>
      <c r="M318" s="65"/>
      <c r="N318" s="65" t="s">
        <v>196</v>
      </c>
    </row>
    <row r="319" spans="1:14" s="77" customFormat="1" ht="24.75" customHeight="1">
      <c r="A319" s="457"/>
      <c r="B319" s="319"/>
      <c r="C319" s="6" t="s">
        <v>157</v>
      </c>
      <c r="D319" s="1">
        <v>2021</v>
      </c>
      <c r="E319" s="13"/>
      <c r="F319" s="13"/>
      <c r="G319" s="13"/>
      <c r="H319" s="13"/>
      <c r="I319" s="13"/>
      <c r="J319" s="13">
        <v>0</v>
      </c>
      <c r="K319" s="15"/>
      <c r="L319" s="5" t="s">
        <v>157</v>
      </c>
      <c r="M319" s="65"/>
      <c r="N319" s="65" t="s">
        <v>206</v>
      </c>
    </row>
    <row r="320" spans="1:14" s="77" customFormat="1" ht="24.75" customHeight="1" thickBot="1">
      <c r="A320" s="458"/>
      <c r="B320" s="367"/>
      <c r="C320" s="213" t="s">
        <v>202</v>
      </c>
      <c r="D320" s="214">
        <v>2021</v>
      </c>
      <c r="E320" s="215"/>
      <c r="F320" s="215"/>
      <c r="G320" s="215"/>
      <c r="H320" s="215"/>
      <c r="I320" s="215"/>
      <c r="J320" s="215">
        <v>0</v>
      </c>
      <c r="K320" s="216"/>
      <c r="L320" s="217" t="s">
        <v>202</v>
      </c>
      <c r="M320" s="69"/>
      <c r="N320" s="69" t="s">
        <v>213</v>
      </c>
    </row>
    <row r="321" spans="1:14" s="77" customFormat="1" ht="39.75" customHeight="1">
      <c r="A321" s="208" t="s">
        <v>217</v>
      </c>
      <c r="B321" s="193" t="s">
        <v>207</v>
      </c>
      <c r="C321" s="125" t="s">
        <v>157</v>
      </c>
      <c r="D321" s="218">
        <v>2020</v>
      </c>
      <c r="E321" s="151"/>
      <c r="F321" s="151"/>
      <c r="G321" s="151"/>
      <c r="H321" s="151"/>
      <c r="I321" s="151"/>
      <c r="J321" s="151">
        <v>0</v>
      </c>
      <c r="K321" s="153"/>
      <c r="L321" s="219" t="s">
        <v>157</v>
      </c>
      <c r="M321" s="80"/>
      <c r="N321" s="80" t="s">
        <v>198</v>
      </c>
    </row>
    <row r="322" spans="1:14" s="77" customFormat="1" ht="36" customHeight="1">
      <c r="A322" s="103" t="s">
        <v>218</v>
      </c>
      <c r="B322" s="194" t="s">
        <v>199</v>
      </c>
      <c r="C322" s="6" t="s">
        <v>157</v>
      </c>
      <c r="D322" s="1">
        <v>2020</v>
      </c>
      <c r="E322" s="13"/>
      <c r="F322" s="13"/>
      <c r="G322" s="13"/>
      <c r="H322" s="13"/>
      <c r="I322" s="13"/>
      <c r="J322" s="13">
        <v>0</v>
      </c>
      <c r="K322" s="15"/>
      <c r="L322" s="5" t="s">
        <v>157</v>
      </c>
      <c r="M322" s="24"/>
      <c r="N322" s="24" t="s">
        <v>200</v>
      </c>
    </row>
    <row r="323" spans="1:14" s="77" customFormat="1" ht="37.5" customHeight="1">
      <c r="A323" s="220" t="s">
        <v>219</v>
      </c>
      <c r="B323" s="194" t="s">
        <v>201</v>
      </c>
      <c r="C323" s="6" t="s">
        <v>202</v>
      </c>
      <c r="D323" s="1">
        <v>2020</v>
      </c>
      <c r="E323" s="13"/>
      <c r="F323" s="13"/>
      <c r="G323" s="13"/>
      <c r="H323" s="13"/>
      <c r="I323" s="13"/>
      <c r="J323" s="13">
        <v>0</v>
      </c>
      <c r="K323" s="15"/>
      <c r="L323" s="5" t="s">
        <v>202</v>
      </c>
      <c r="M323" s="24"/>
      <c r="N323" s="24" t="s">
        <v>203</v>
      </c>
    </row>
    <row r="324" spans="1:14" s="77" customFormat="1" ht="41.25" customHeight="1">
      <c r="A324" s="220" t="s">
        <v>220</v>
      </c>
      <c r="B324" s="194" t="s">
        <v>204</v>
      </c>
      <c r="C324" s="6" t="s">
        <v>202</v>
      </c>
      <c r="D324" s="1">
        <v>2020</v>
      </c>
      <c r="E324" s="13"/>
      <c r="F324" s="13"/>
      <c r="G324" s="13"/>
      <c r="H324" s="13"/>
      <c r="I324" s="13"/>
      <c r="J324" s="13">
        <v>0</v>
      </c>
      <c r="K324" s="15"/>
      <c r="L324" s="5" t="s">
        <v>202</v>
      </c>
      <c r="M324" s="24"/>
      <c r="N324" s="24" t="s">
        <v>205</v>
      </c>
    </row>
    <row r="325" spans="1:13" s="89" customFormat="1" ht="24.75" customHeight="1">
      <c r="A325" s="104"/>
      <c r="B325" s="455"/>
      <c r="C325" s="455"/>
      <c r="D325" s="4"/>
      <c r="E325" s="25"/>
      <c r="F325" s="25"/>
      <c r="G325" s="25"/>
      <c r="H325" s="25"/>
      <c r="I325" s="25"/>
      <c r="J325" s="25"/>
      <c r="K325" s="112"/>
      <c r="L325" s="113"/>
      <c r="M325" s="105"/>
    </row>
    <row r="326" spans="1:13" s="89" customFormat="1" ht="24.75" customHeight="1">
      <c r="A326" s="104"/>
      <c r="B326" s="119"/>
      <c r="C326" s="120"/>
      <c r="D326" s="4"/>
      <c r="E326" s="25"/>
      <c r="F326" s="25"/>
      <c r="G326" s="25"/>
      <c r="H326" s="25"/>
      <c r="I326" s="25"/>
      <c r="J326" s="25"/>
      <c r="K326" s="112"/>
      <c r="L326" s="113"/>
      <c r="M326" s="105"/>
    </row>
    <row r="327" spans="1:13" s="77" customFormat="1" ht="24.75" customHeight="1">
      <c r="A327" s="402"/>
      <c r="B327" s="449" t="s">
        <v>40</v>
      </c>
      <c r="C327" s="450"/>
      <c r="D327" s="8">
        <v>2017</v>
      </c>
      <c r="E327" s="46">
        <f>F327+G327+J327+K327</f>
        <v>26434.284</v>
      </c>
      <c r="F327" s="179">
        <f>G327+H327</f>
        <v>0</v>
      </c>
      <c r="G327" s="179">
        <f>H327+I327</f>
        <v>0</v>
      </c>
      <c r="H327" s="180">
        <f>H228+H229</f>
        <v>0</v>
      </c>
      <c r="I327" s="180">
        <f>I228+I229</f>
        <v>0</v>
      </c>
      <c r="J327" s="46">
        <f>J228+J229</f>
        <v>26434.284</v>
      </c>
      <c r="K327" s="46">
        <v>0</v>
      </c>
      <c r="L327" s="5"/>
      <c r="M327" s="24"/>
    </row>
    <row r="328" spans="1:13" s="77" customFormat="1" ht="24.75" customHeight="1">
      <c r="A328" s="402"/>
      <c r="B328" s="451"/>
      <c r="C328" s="452"/>
      <c r="D328" s="8">
        <v>2018</v>
      </c>
      <c r="E328" s="46">
        <f>F328+G328+J328+K328</f>
        <v>29674.233</v>
      </c>
      <c r="F328" s="179">
        <f>G328+H328</f>
        <v>0</v>
      </c>
      <c r="G328" s="179">
        <f>H328+I328</f>
        <v>0</v>
      </c>
      <c r="H328" s="180">
        <f>H230</f>
        <v>0</v>
      </c>
      <c r="I328" s="180">
        <f>I230</f>
        <v>0</v>
      </c>
      <c r="J328" s="46">
        <f>J230+J279</f>
        <v>29674.233</v>
      </c>
      <c r="K328" s="180">
        <v>0</v>
      </c>
      <c r="L328" s="5"/>
      <c r="M328" s="24"/>
    </row>
    <row r="329" spans="1:13" s="77" customFormat="1" ht="24.75" customHeight="1">
      <c r="A329" s="402"/>
      <c r="B329" s="451"/>
      <c r="C329" s="452"/>
      <c r="D329" s="8">
        <v>2019</v>
      </c>
      <c r="E329" s="46">
        <f aca="true" t="shared" si="55" ref="E329:K329">E246+E287+E293+E267+E305</f>
        <v>27583.2734</v>
      </c>
      <c r="F329" s="46">
        <f t="shared" si="55"/>
        <v>0</v>
      </c>
      <c r="G329" s="46">
        <f t="shared" si="55"/>
        <v>1436</v>
      </c>
      <c r="H329" s="46">
        <f t="shared" si="55"/>
        <v>0</v>
      </c>
      <c r="I329" s="46">
        <f t="shared" si="55"/>
        <v>1436</v>
      </c>
      <c r="J329" s="46">
        <f>J246+J287+J293+J267+J305</f>
        <v>26147.2734</v>
      </c>
      <c r="K329" s="46">
        <f t="shared" si="55"/>
        <v>0</v>
      </c>
      <c r="L329" s="5"/>
      <c r="M329" s="24"/>
    </row>
    <row r="330" spans="1:13" s="77" customFormat="1" ht="24.75" customHeight="1">
      <c r="A330" s="402"/>
      <c r="B330" s="451"/>
      <c r="C330" s="452"/>
      <c r="D330" s="8">
        <v>2020</v>
      </c>
      <c r="E330" s="46">
        <f aca="true" t="shared" si="56" ref="E330:K330">E261+E269+E290+E294+E308</f>
        <v>11000</v>
      </c>
      <c r="F330" s="46">
        <f t="shared" si="56"/>
        <v>0</v>
      </c>
      <c r="G330" s="46">
        <f t="shared" si="56"/>
        <v>0</v>
      </c>
      <c r="H330" s="46">
        <f t="shared" si="56"/>
        <v>0</v>
      </c>
      <c r="I330" s="46">
        <f t="shared" si="56"/>
        <v>0</v>
      </c>
      <c r="J330" s="46">
        <f t="shared" si="56"/>
        <v>11000</v>
      </c>
      <c r="K330" s="46">
        <f t="shared" si="56"/>
        <v>0</v>
      </c>
      <c r="L330" s="5"/>
      <c r="M330" s="24"/>
    </row>
    <row r="331" spans="1:13" s="77" customFormat="1" ht="24.75" customHeight="1">
      <c r="A331" s="402"/>
      <c r="B331" s="451"/>
      <c r="C331" s="452"/>
      <c r="D331" s="8">
        <v>2021</v>
      </c>
      <c r="E331" s="46">
        <f aca="true" t="shared" si="57" ref="E331:K331">E263+E270+E291+E295+E309</f>
        <v>22888.568</v>
      </c>
      <c r="F331" s="46">
        <f t="shared" si="57"/>
        <v>0</v>
      </c>
      <c r="G331" s="46">
        <f t="shared" si="57"/>
        <v>0</v>
      </c>
      <c r="H331" s="46">
        <f t="shared" si="57"/>
        <v>0</v>
      </c>
      <c r="I331" s="46">
        <f t="shared" si="57"/>
        <v>0</v>
      </c>
      <c r="J331" s="46">
        <f t="shared" si="57"/>
        <v>22888.568</v>
      </c>
      <c r="K331" s="46">
        <f t="shared" si="57"/>
        <v>0</v>
      </c>
      <c r="L331" s="5"/>
      <c r="M331" s="24"/>
    </row>
    <row r="332" spans="1:13" s="77" customFormat="1" ht="24.75" customHeight="1">
      <c r="A332" s="402"/>
      <c r="B332" s="453"/>
      <c r="C332" s="454"/>
      <c r="D332" s="8">
        <v>2022</v>
      </c>
      <c r="E332" s="46">
        <f aca="true" t="shared" si="58" ref="E332:K332">E265+E292+E296+E310</f>
        <v>20972.961</v>
      </c>
      <c r="F332" s="46">
        <f t="shared" si="58"/>
        <v>0</v>
      </c>
      <c r="G332" s="46">
        <f t="shared" si="58"/>
        <v>0</v>
      </c>
      <c r="H332" s="46">
        <f t="shared" si="58"/>
        <v>0</v>
      </c>
      <c r="I332" s="46">
        <f t="shared" si="58"/>
        <v>0</v>
      </c>
      <c r="J332" s="46">
        <f t="shared" si="58"/>
        <v>20972.961</v>
      </c>
      <c r="K332" s="46">
        <f t="shared" si="58"/>
        <v>0</v>
      </c>
      <c r="L332" s="5"/>
      <c r="M332" s="24"/>
    </row>
    <row r="333" spans="1:13" s="77" customFormat="1" ht="27" customHeight="1">
      <c r="A333" s="427" t="s">
        <v>107</v>
      </c>
      <c r="B333" s="474"/>
      <c r="C333" s="474"/>
      <c r="D333" s="474"/>
      <c r="E333" s="474"/>
      <c r="F333" s="474"/>
      <c r="G333" s="474"/>
      <c r="H333" s="474"/>
      <c r="I333" s="474"/>
      <c r="J333" s="474"/>
      <c r="K333" s="474"/>
      <c r="L333" s="474"/>
      <c r="M333" s="475"/>
    </row>
    <row r="334" spans="1:13" s="77" customFormat="1" ht="29.25" customHeight="1">
      <c r="A334" s="426" t="s">
        <v>60</v>
      </c>
      <c r="B334" s="465"/>
      <c r="C334" s="465"/>
      <c r="D334" s="465"/>
      <c r="E334" s="465"/>
      <c r="F334" s="465"/>
      <c r="G334" s="465"/>
      <c r="H334" s="465"/>
      <c r="I334" s="465"/>
      <c r="J334" s="465"/>
      <c r="K334" s="465"/>
      <c r="L334" s="466"/>
      <c r="M334" s="467"/>
    </row>
    <row r="335" spans="1:13" s="77" customFormat="1" ht="27" customHeight="1">
      <c r="A335" s="426" t="s">
        <v>143</v>
      </c>
      <c r="B335" s="465"/>
      <c r="C335" s="465"/>
      <c r="D335" s="465"/>
      <c r="E335" s="465"/>
      <c r="F335" s="465"/>
      <c r="G335" s="465"/>
      <c r="H335" s="465"/>
      <c r="I335" s="465"/>
      <c r="J335" s="465"/>
      <c r="K335" s="499"/>
      <c r="L335" s="9"/>
      <c r="M335" s="24"/>
    </row>
    <row r="336" spans="1:13" s="77" customFormat="1" ht="49.5" customHeight="1">
      <c r="A336" s="372" t="s">
        <v>92</v>
      </c>
      <c r="B336" s="459" t="s">
        <v>144</v>
      </c>
      <c r="C336" s="460"/>
      <c r="D336" s="4">
        <v>2017</v>
      </c>
      <c r="E336" s="47">
        <f aca="true" t="shared" si="59" ref="E336:E345">F336+G336+J336+K336</f>
        <v>200580.416</v>
      </c>
      <c r="F336" s="47">
        <f>F337+F338+F339+F341+F342+F343+F344</f>
        <v>124615.2</v>
      </c>
      <c r="G336" s="25">
        <f>H336+I336</f>
        <v>727</v>
      </c>
      <c r="H336" s="25">
        <f>H337+H338+H339+H341+H342+H343+H344</f>
        <v>0</v>
      </c>
      <c r="I336" s="25">
        <f>I337+I338+I339+I341+I342+I343+I344</f>
        <v>727</v>
      </c>
      <c r="J336" s="25">
        <f>J337+J338+J339+J341+J342+J343+J344</f>
        <v>75238.216</v>
      </c>
      <c r="K336" s="25">
        <f>K337+K338+K339+K341+K342+K343+K344</f>
        <v>0</v>
      </c>
      <c r="L336" s="9"/>
      <c r="M336" s="358" t="s">
        <v>69</v>
      </c>
    </row>
    <row r="337" spans="1:13" s="77" customFormat="1" ht="27" customHeight="1">
      <c r="A337" s="372"/>
      <c r="B337" s="461"/>
      <c r="C337" s="462"/>
      <c r="D337" s="53"/>
      <c r="E337" s="47">
        <f t="shared" si="59"/>
        <v>64776.86</v>
      </c>
      <c r="F337" s="22">
        <v>54731.8</v>
      </c>
      <c r="G337" s="27">
        <f>H337+I337</f>
        <v>0</v>
      </c>
      <c r="H337" s="22"/>
      <c r="I337" s="22"/>
      <c r="J337" s="22">
        <v>10045.06</v>
      </c>
      <c r="K337" s="23">
        <v>0</v>
      </c>
      <c r="L337" s="3" t="s">
        <v>10</v>
      </c>
      <c r="M337" s="358"/>
    </row>
    <row r="338" spans="1:13" s="77" customFormat="1" ht="27" customHeight="1">
      <c r="A338" s="372"/>
      <c r="B338" s="461"/>
      <c r="C338" s="462"/>
      <c r="D338" s="8"/>
      <c r="E338" s="47">
        <f t="shared" si="59"/>
        <v>20018.813</v>
      </c>
      <c r="F338" s="22"/>
      <c r="G338" s="27">
        <f aca="true" t="shared" si="60" ref="G338:G344">H338+I338</f>
        <v>0</v>
      </c>
      <c r="H338" s="22"/>
      <c r="I338" s="22"/>
      <c r="J338" s="22">
        <v>20018.813</v>
      </c>
      <c r="K338" s="23">
        <v>0</v>
      </c>
      <c r="L338" s="3" t="s">
        <v>33</v>
      </c>
      <c r="M338" s="358"/>
    </row>
    <row r="339" spans="1:13" s="77" customFormat="1" ht="27" customHeight="1">
      <c r="A339" s="372"/>
      <c r="B339" s="461"/>
      <c r="C339" s="462"/>
      <c r="D339" s="8"/>
      <c r="E339" s="47">
        <f t="shared" si="59"/>
        <v>13226.366</v>
      </c>
      <c r="F339" s="22"/>
      <c r="G339" s="27">
        <f t="shared" si="60"/>
        <v>0</v>
      </c>
      <c r="H339" s="22"/>
      <c r="I339" s="22"/>
      <c r="J339" s="22">
        <v>13226.366</v>
      </c>
      <c r="K339" s="23">
        <v>0</v>
      </c>
      <c r="L339" s="3" t="s">
        <v>34</v>
      </c>
      <c r="M339" s="358"/>
    </row>
    <row r="340" spans="1:13" s="77" customFormat="1" ht="27" customHeight="1">
      <c r="A340" s="372"/>
      <c r="B340" s="461"/>
      <c r="C340" s="462"/>
      <c r="D340" s="8"/>
      <c r="E340" s="47"/>
      <c r="F340" s="22"/>
      <c r="G340" s="27"/>
      <c r="H340" s="22"/>
      <c r="I340" s="22"/>
      <c r="J340" s="22"/>
      <c r="K340" s="23"/>
      <c r="L340" s="3"/>
      <c r="M340" s="358"/>
    </row>
    <row r="341" spans="1:13" s="77" customFormat="1" ht="27" customHeight="1">
      <c r="A341" s="372"/>
      <c r="B341" s="461"/>
      <c r="C341" s="462"/>
      <c r="D341" s="8"/>
      <c r="E341" s="47">
        <f t="shared" si="59"/>
        <v>77631.458</v>
      </c>
      <c r="F341" s="22">
        <v>69883.4</v>
      </c>
      <c r="G341" s="27">
        <f t="shared" si="60"/>
        <v>0</v>
      </c>
      <c r="H341" s="22"/>
      <c r="I341" s="22"/>
      <c r="J341" s="22">
        <v>7748.058</v>
      </c>
      <c r="K341" s="23">
        <v>0</v>
      </c>
      <c r="L341" s="3" t="s">
        <v>35</v>
      </c>
      <c r="M341" s="358"/>
    </row>
    <row r="342" spans="1:13" s="77" customFormat="1" ht="29.25" customHeight="1">
      <c r="A342" s="372"/>
      <c r="B342" s="461"/>
      <c r="C342" s="462"/>
      <c r="D342" s="8"/>
      <c r="E342" s="47">
        <f t="shared" si="59"/>
        <v>8225.922</v>
      </c>
      <c r="F342" s="10"/>
      <c r="G342" s="27">
        <f t="shared" si="60"/>
        <v>0</v>
      </c>
      <c r="H342" s="22"/>
      <c r="I342" s="22"/>
      <c r="J342" s="22">
        <v>8225.922</v>
      </c>
      <c r="K342" s="23">
        <v>0</v>
      </c>
      <c r="L342" s="3" t="s">
        <v>21</v>
      </c>
      <c r="M342" s="358"/>
    </row>
    <row r="343" spans="1:13" s="77" customFormat="1" ht="32.25" customHeight="1">
      <c r="A343" s="372"/>
      <c r="B343" s="461"/>
      <c r="C343" s="462"/>
      <c r="D343" s="8"/>
      <c r="E343" s="47">
        <f t="shared" si="59"/>
        <v>11386.085</v>
      </c>
      <c r="F343" s="10"/>
      <c r="G343" s="27">
        <f t="shared" si="60"/>
        <v>0</v>
      </c>
      <c r="H343" s="22"/>
      <c r="I343" s="22"/>
      <c r="J343" s="22">
        <v>11386.085</v>
      </c>
      <c r="K343" s="23">
        <v>0</v>
      </c>
      <c r="L343" s="3" t="s">
        <v>36</v>
      </c>
      <c r="M343" s="358"/>
    </row>
    <row r="344" spans="1:13" s="77" customFormat="1" ht="41.25" customHeight="1">
      <c r="A344" s="372"/>
      <c r="B344" s="461"/>
      <c r="C344" s="462"/>
      <c r="D344" s="8"/>
      <c r="E344" s="47">
        <f t="shared" si="59"/>
        <v>5314.912</v>
      </c>
      <c r="F344" s="10"/>
      <c r="G344" s="27">
        <f t="shared" si="60"/>
        <v>727</v>
      </c>
      <c r="H344" s="22">
        <v>0</v>
      </c>
      <c r="I344" s="22">
        <v>727</v>
      </c>
      <c r="J344" s="22">
        <f>5287.912-700</f>
        <v>4587.912</v>
      </c>
      <c r="K344" s="23">
        <v>0</v>
      </c>
      <c r="L344" s="3" t="s">
        <v>39</v>
      </c>
      <c r="M344" s="358"/>
    </row>
    <row r="345" spans="1:13" s="77" customFormat="1" ht="69" customHeight="1">
      <c r="A345" s="372"/>
      <c r="B345" s="463"/>
      <c r="C345" s="464"/>
      <c r="D345" s="8">
        <v>2017</v>
      </c>
      <c r="E345" s="47">
        <f t="shared" si="59"/>
        <v>16200</v>
      </c>
      <c r="F345" s="48"/>
      <c r="G345" s="48">
        <f>H345+I345</f>
        <v>0</v>
      </c>
      <c r="H345" s="48">
        <v>0</v>
      </c>
      <c r="I345" s="48">
        <v>0</v>
      </c>
      <c r="J345" s="48">
        <v>16200</v>
      </c>
      <c r="K345" s="48">
        <v>0</v>
      </c>
      <c r="L345" s="3" t="s">
        <v>43</v>
      </c>
      <c r="M345" s="358"/>
    </row>
    <row r="346" spans="1:13" s="77" customFormat="1" ht="27" customHeight="1" hidden="1" thickBot="1">
      <c r="A346" s="82"/>
      <c r="B346" s="49"/>
      <c r="C346" s="49"/>
      <c r="D346" s="8"/>
      <c r="E346" s="47">
        <f>F346+G346+J346+K346</f>
        <v>0</v>
      </c>
      <c r="F346" s="48"/>
      <c r="G346" s="48"/>
      <c r="H346" s="48"/>
      <c r="I346" s="48"/>
      <c r="J346" s="22"/>
      <c r="K346" s="22"/>
      <c r="L346" s="3"/>
      <c r="M346" s="358"/>
    </row>
    <row r="347" spans="1:13" s="77" customFormat="1" ht="24.75" customHeight="1">
      <c r="A347" s="372" t="s">
        <v>93</v>
      </c>
      <c r="B347" s="396" t="s">
        <v>94</v>
      </c>
      <c r="C347" s="397"/>
      <c r="D347" s="379">
        <v>2018</v>
      </c>
      <c r="E347" s="47">
        <f>F347+G347+J347+K347</f>
        <v>209116.99978</v>
      </c>
      <c r="F347" s="47">
        <f>SUM(F348:F354)</f>
        <v>137344.5</v>
      </c>
      <c r="G347" s="47">
        <f>H347+I347</f>
        <v>1006.9820000000001</v>
      </c>
      <c r="H347" s="47">
        <f>H348+H349+H350+H351+H352+H353+H354</f>
        <v>0</v>
      </c>
      <c r="I347" s="47">
        <f>SUM(I348:I354)</f>
        <v>1006.9820000000001</v>
      </c>
      <c r="J347" s="47">
        <f>J348+J349+J350+J351+J352+J353+J354</f>
        <v>70765.51778000001</v>
      </c>
      <c r="K347" s="48">
        <v>0</v>
      </c>
      <c r="L347" s="3"/>
      <c r="M347" s="358"/>
    </row>
    <row r="348" spans="1:13" s="77" customFormat="1" ht="24.75" customHeight="1">
      <c r="A348" s="372"/>
      <c r="B348" s="398"/>
      <c r="C348" s="399"/>
      <c r="D348" s="379"/>
      <c r="E348" s="47">
        <f aca="true" t="shared" si="61" ref="E348:E360">F348+G348+J348+K348</f>
        <v>23993.106</v>
      </c>
      <c r="F348" s="10">
        <f>13666.243+401.723+232.4</f>
        <v>14300.366</v>
      </c>
      <c r="G348" s="47">
        <f>H348+I348</f>
        <v>0</v>
      </c>
      <c r="H348" s="10"/>
      <c r="I348" s="54"/>
      <c r="J348" s="10">
        <f>9852.084+390.21-2100+341.676+175.77+33+1000</f>
        <v>9692.74</v>
      </c>
      <c r="K348" s="22">
        <v>0</v>
      </c>
      <c r="L348" s="3" t="s">
        <v>10</v>
      </c>
      <c r="M348" s="358"/>
    </row>
    <row r="349" spans="1:13" s="77" customFormat="1" ht="24.75" customHeight="1">
      <c r="A349" s="372"/>
      <c r="B349" s="398"/>
      <c r="C349" s="399"/>
      <c r="D349" s="379"/>
      <c r="E349" s="47">
        <f t="shared" si="61"/>
        <v>50093.08377</v>
      </c>
      <c r="F349" s="10">
        <f>29992.565+858.854</f>
        <v>30851.418999999998</v>
      </c>
      <c r="G349" s="47">
        <f aca="true" t="shared" si="62" ref="G349:G354">H349+I349</f>
        <v>0</v>
      </c>
      <c r="H349" s="10"/>
      <c r="I349" s="54"/>
      <c r="J349" s="10">
        <f>20130.966+919.02-4300+766.8+389.718+170+1165.16077</f>
        <v>19241.66477</v>
      </c>
      <c r="K349" s="22">
        <v>0</v>
      </c>
      <c r="L349" s="3" t="s">
        <v>33</v>
      </c>
      <c r="M349" s="358"/>
    </row>
    <row r="350" spans="1:13" s="77" customFormat="1" ht="24.75" customHeight="1">
      <c r="A350" s="372"/>
      <c r="B350" s="398"/>
      <c r="C350" s="399"/>
      <c r="D350" s="379"/>
      <c r="E350" s="47">
        <f t="shared" si="61"/>
        <v>28049.476</v>
      </c>
      <c r="F350" s="10">
        <f>14985.192+401.723</f>
        <v>15386.914999999999</v>
      </c>
      <c r="G350" s="47">
        <f t="shared" si="62"/>
        <v>0</v>
      </c>
      <c r="H350" s="10"/>
      <c r="I350" s="54"/>
      <c r="J350" s="10">
        <f>13529.638+429.793-2900+367.83+195.3+40+1000</f>
        <v>12662.561</v>
      </c>
      <c r="K350" s="22">
        <v>0</v>
      </c>
      <c r="L350" s="3" t="s">
        <v>34</v>
      </c>
      <c r="M350" s="358"/>
    </row>
    <row r="351" spans="1:13" s="77" customFormat="1" ht="24.75" customHeight="1">
      <c r="A351" s="372"/>
      <c r="B351" s="398"/>
      <c r="C351" s="399"/>
      <c r="D351" s="379"/>
      <c r="E351" s="47">
        <f t="shared" si="61"/>
        <v>42507.873999999996</v>
      </c>
      <c r="F351" s="10">
        <f>30680.494+2764.647+1578.681</f>
        <v>35023.82199999999</v>
      </c>
      <c r="G351" s="47">
        <f t="shared" si="62"/>
        <v>0</v>
      </c>
      <c r="H351" s="10"/>
      <c r="I351" s="54"/>
      <c r="J351" s="10">
        <f>8048.81-1700+345.242-210+1000</f>
        <v>7484.052000000001</v>
      </c>
      <c r="K351" s="22">
        <v>0</v>
      </c>
      <c r="L351" s="3" t="s">
        <v>35</v>
      </c>
      <c r="M351" s="358"/>
    </row>
    <row r="352" spans="1:13" s="77" customFormat="1" ht="24.75" customHeight="1">
      <c r="A352" s="372"/>
      <c r="B352" s="398"/>
      <c r="C352" s="399"/>
      <c r="D352" s="379"/>
      <c r="E352" s="47">
        <f t="shared" si="61"/>
        <v>50010.63799999999</v>
      </c>
      <c r="F352" s="10">
        <f>39719.506+177.753+1884.719</f>
        <v>41781.977999999996</v>
      </c>
      <c r="G352" s="47">
        <f t="shared" si="62"/>
        <v>0</v>
      </c>
      <c r="H352" s="10"/>
      <c r="I352" s="54"/>
      <c r="J352" s="10">
        <f>8631.55-1800+397.11+1000</f>
        <v>8228.66</v>
      </c>
      <c r="K352" s="22">
        <v>0</v>
      </c>
      <c r="L352" s="3" t="s">
        <v>21</v>
      </c>
      <c r="M352" s="358"/>
    </row>
    <row r="353" spans="1:13" s="77" customFormat="1" ht="24.75" customHeight="1">
      <c r="A353" s="372"/>
      <c r="B353" s="398"/>
      <c r="C353" s="399"/>
      <c r="D353" s="379"/>
      <c r="E353" s="47">
        <f t="shared" si="61"/>
        <v>9699.46648</v>
      </c>
      <c r="F353" s="47"/>
      <c r="G353" s="47">
        <f t="shared" si="62"/>
        <v>1006.9820000000001</v>
      </c>
      <c r="H353" s="10">
        <v>0</v>
      </c>
      <c r="I353" s="10">
        <f>607.273+227.345+172.364</f>
        <v>1006.9820000000001</v>
      </c>
      <c r="J353" s="10">
        <f>10509.141+105.556-2200-617.733+133+762.52048</f>
        <v>8692.48448</v>
      </c>
      <c r="K353" s="22">
        <v>0</v>
      </c>
      <c r="L353" s="3" t="s">
        <v>36</v>
      </c>
      <c r="M353" s="358"/>
    </row>
    <row r="354" spans="1:13" s="77" customFormat="1" ht="35.25" customHeight="1">
      <c r="A354" s="372"/>
      <c r="B354" s="398"/>
      <c r="C354" s="399"/>
      <c r="D354" s="379"/>
      <c r="E354" s="47">
        <f t="shared" si="61"/>
        <v>4763.355530000001</v>
      </c>
      <c r="F354" s="47"/>
      <c r="G354" s="47">
        <f t="shared" si="62"/>
        <v>0</v>
      </c>
      <c r="H354" s="10"/>
      <c r="I354" s="10">
        <v>0</v>
      </c>
      <c r="J354" s="10">
        <f>4700.622+104.16-92.24918+50.82271</f>
        <v>4763.355530000001</v>
      </c>
      <c r="K354" s="22">
        <v>0</v>
      </c>
      <c r="L354" s="3" t="s">
        <v>58</v>
      </c>
      <c r="M354" s="358"/>
    </row>
    <row r="355" spans="1:13" s="77" customFormat="1" ht="24.75" customHeight="1">
      <c r="A355" s="372"/>
      <c r="B355" s="398"/>
      <c r="C355" s="399"/>
      <c r="D355" s="379">
        <v>2018</v>
      </c>
      <c r="E355" s="47">
        <f t="shared" si="61"/>
        <v>0</v>
      </c>
      <c r="F355" s="47">
        <f>SUM(F356:F360)</f>
        <v>0</v>
      </c>
      <c r="G355" s="47">
        <f>SUM(G356:G360)</f>
        <v>0</v>
      </c>
      <c r="H355" s="47">
        <f>SUM(H356:H360)</f>
        <v>0</v>
      </c>
      <c r="I355" s="47">
        <f>SUM(I356:I360)</f>
        <v>0</v>
      </c>
      <c r="J355" s="47">
        <f>SUM(J356:J360)</f>
        <v>0</v>
      </c>
      <c r="K355" s="48"/>
      <c r="L355" s="39"/>
      <c r="M355" s="358"/>
    </row>
    <row r="356" spans="1:13" s="77" customFormat="1" ht="24.75" customHeight="1">
      <c r="A356" s="372"/>
      <c r="B356" s="398"/>
      <c r="C356" s="399"/>
      <c r="D356" s="379"/>
      <c r="E356" s="47">
        <f t="shared" si="61"/>
        <v>0</v>
      </c>
      <c r="F356" s="21"/>
      <c r="G356" s="47">
        <f aca="true" t="shared" si="63" ref="G356:G362">H356+I356</f>
        <v>0</v>
      </c>
      <c r="H356" s="10"/>
      <c r="I356" s="10"/>
      <c r="J356" s="10">
        <v>0</v>
      </c>
      <c r="K356" s="22"/>
      <c r="L356" s="3" t="s">
        <v>10</v>
      </c>
      <c r="M356" s="358"/>
    </row>
    <row r="357" spans="1:13" s="77" customFormat="1" ht="24.75" customHeight="1">
      <c r="A357" s="372"/>
      <c r="B357" s="398"/>
      <c r="C357" s="399"/>
      <c r="D357" s="379"/>
      <c r="E357" s="47">
        <f t="shared" si="61"/>
        <v>0</v>
      </c>
      <c r="F357" s="21"/>
      <c r="G357" s="47">
        <f t="shared" si="63"/>
        <v>0</v>
      </c>
      <c r="H357" s="10"/>
      <c r="I357" s="10"/>
      <c r="J357" s="10">
        <v>0</v>
      </c>
      <c r="K357" s="22"/>
      <c r="L357" s="3" t="s">
        <v>33</v>
      </c>
      <c r="M357" s="358"/>
    </row>
    <row r="358" spans="1:13" s="77" customFormat="1" ht="24.75" customHeight="1">
      <c r="A358" s="372"/>
      <c r="B358" s="398"/>
      <c r="C358" s="399"/>
      <c r="D358" s="379"/>
      <c r="E358" s="47">
        <f t="shared" si="61"/>
        <v>0</v>
      </c>
      <c r="F358" s="21"/>
      <c r="G358" s="47">
        <f t="shared" si="63"/>
        <v>0</v>
      </c>
      <c r="H358" s="10"/>
      <c r="I358" s="10"/>
      <c r="J358" s="10">
        <v>0</v>
      </c>
      <c r="K358" s="22"/>
      <c r="L358" s="3" t="s">
        <v>34</v>
      </c>
      <c r="M358" s="358"/>
    </row>
    <row r="359" spans="1:13" s="77" customFormat="1" ht="24.75" customHeight="1">
      <c r="A359" s="372"/>
      <c r="B359" s="398"/>
      <c r="C359" s="399"/>
      <c r="D359" s="379"/>
      <c r="E359" s="47">
        <f t="shared" si="61"/>
        <v>0</v>
      </c>
      <c r="F359" s="21"/>
      <c r="G359" s="47">
        <f t="shared" si="63"/>
        <v>0</v>
      </c>
      <c r="H359" s="10"/>
      <c r="I359" s="10"/>
      <c r="J359" s="10">
        <v>0</v>
      </c>
      <c r="K359" s="22"/>
      <c r="L359" s="3" t="s">
        <v>35</v>
      </c>
      <c r="M359" s="358"/>
    </row>
    <row r="360" spans="1:13" s="77" customFormat="1" ht="24.75" customHeight="1">
      <c r="A360" s="372"/>
      <c r="B360" s="398"/>
      <c r="C360" s="399"/>
      <c r="D360" s="379"/>
      <c r="E360" s="47">
        <f t="shared" si="61"/>
        <v>0</v>
      </c>
      <c r="F360" s="21"/>
      <c r="G360" s="47">
        <f t="shared" si="63"/>
        <v>0</v>
      </c>
      <c r="H360" s="10"/>
      <c r="I360" s="10"/>
      <c r="J360" s="10">
        <v>0</v>
      </c>
      <c r="K360" s="22"/>
      <c r="L360" s="3" t="s">
        <v>21</v>
      </c>
      <c r="M360" s="358"/>
    </row>
    <row r="361" spans="1:13" s="77" customFormat="1" ht="24.75" customHeight="1">
      <c r="A361" s="372"/>
      <c r="B361" s="398"/>
      <c r="C361" s="399"/>
      <c r="D361" s="379">
        <v>2019</v>
      </c>
      <c r="E361" s="48">
        <f>F361+G361+J361+K361</f>
        <v>229770.53044</v>
      </c>
      <c r="F361" s="48">
        <f>SUM(F362:F370)</f>
        <v>150533.8</v>
      </c>
      <c r="G361" s="48">
        <f t="shared" si="63"/>
        <v>1276.052</v>
      </c>
      <c r="H361" s="48">
        <f>H362+H363+H364+H365+H366+H368+H370</f>
        <v>0</v>
      </c>
      <c r="I361" s="48">
        <f>I362+I363+I364+I365+I366+I368+I370</f>
        <v>1276.052</v>
      </c>
      <c r="J361" s="48">
        <f>SUM(J362:J370)</f>
        <v>77960.67844000002</v>
      </c>
      <c r="K361" s="48">
        <f>SUM(K362:K370)</f>
        <v>0</v>
      </c>
      <c r="L361" s="3"/>
      <c r="M361" s="358"/>
    </row>
    <row r="362" spans="1:13" s="77" customFormat="1" ht="24.75" customHeight="1">
      <c r="A362" s="372"/>
      <c r="B362" s="398"/>
      <c r="C362" s="399"/>
      <c r="D362" s="379"/>
      <c r="E362" s="22">
        <f aca="true" t="shared" si="64" ref="E362:E370">F362+G362+J362+K362</f>
        <v>24241.684</v>
      </c>
      <c r="F362" s="22">
        <f>13252.661+1120.6</f>
        <v>14373.261</v>
      </c>
      <c r="G362" s="22">
        <f t="shared" si="63"/>
        <v>0</v>
      </c>
      <c r="H362" s="22"/>
      <c r="I362" s="22"/>
      <c r="J362" s="22">
        <f>9770.96256+1.65244--30+65.808</f>
        <v>9868.423</v>
      </c>
      <c r="K362" s="22">
        <v>0</v>
      </c>
      <c r="L362" s="3" t="s">
        <v>10</v>
      </c>
      <c r="M362" s="358"/>
    </row>
    <row r="363" spans="1:13" s="77" customFormat="1" ht="24.75" customHeight="1">
      <c r="A363" s="372"/>
      <c r="B363" s="398"/>
      <c r="C363" s="399"/>
      <c r="D363" s="379"/>
      <c r="E363" s="22">
        <f t="shared" si="64"/>
        <v>49871.14725</v>
      </c>
      <c r="F363" s="22">
        <f>29522.977-533.6</f>
        <v>28989.377</v>
      </c>
      <c r="G363" s="22">
        <f aca="true" t="shared" si="65" ref="G363:G370">H363+I363</f>
        <v>0</v>
      </c>
      <c r="H363" s="22"/>
      <c r="I363" s="22"/>
      <c r="J363" s="22">
        <f>20596.83525-30+314.935</f>
        <v>20881.77025</v>
      </c>
      <c r="K363" s="22">
        <v>0</v>
      </c>
      <c r="L363" s="3" t="s">
        <v>33</v>
      </c>
      <c r="M363" s="358"/>
    </row>
    <row r="364" spans="1:13" s="77" customFormat="1" ht="24.75" customHeight="1">
      <c r="A364" s="372"/>
      <c r="B364" s="398"/>
      <c r="C364" s="399"/>
      <c r="D364" s="379"/>
      <c r="E364" s="22">
        <f t="shared" si="64"/>
        <v>29872.57956</v>
      </c>
      <c r="F364" s="22">
        <f>15424.362+117.4</f>
        <v>15541.761999999999</v>
      </c>
      <c r="G364" s="22">
        <f t="shared" si="65"/>
        <v>0</v>
      </c>
      <c r="H364" s="22"/>
      <c r="I364" s="22"/>
      <c r="J364" s="22">
        <f>12530.84+998.142-1.65244+803.488</f>
        <v>14330.81756</v>
      </c>
      <c r="K364" s="22">
        <v>0</v>
      </c>
      <c r="L364" s="3" t="s">
        <v>34</v>
      </c>
      <c r="M364" s="358"/>
    </row>
    <row r="365" spans="1:13" s="77" customFormat="1" ht="24.75" customHeight="1">
      <c r="A365" s="372"/>
      <c r="B365" s="398"/>
      <c r="C365" s="399"/>
      <c r="D365" s="379"/>
      <c r="E365" s="22">
        <f t="shared" si="64"/>
        <v>49171.80562000001</v>
      </c>
      <c r="F365" s="22">
        <f>39746.014+486.427+1812.116</f>
        <v>42044.55700000001</v>
      </c>
      <c r="G365" s="22">
        <f t="shared" si="65"/>
        <v>0</v>
      </c>
      <c r="H365" s="22"/>
      <c r="I365" s="22"/>
      <c r="J365" s="22">
        <f>6993.76062+133.488</f>
        <v>7127.24862</v>
      </c>
      <c r="K365" s="22">
        <v>0</v>
      </c>
      <c r="L365" s="3" t="s">
        <v>35</v>
      </c>
      <c r="M365" s="358"/>
    </row>
    <row r="366" spans="1:13" s="77" customFormat="1" ht="24.75" customHeight="1">
      <c r="A366" s="372"/>
      <c r="B366" s="398"/>
      <c r="C366" s="399"/>
      <c r="D366" s="379"/>
      <c r="E366" s="22">
        <f t="shared" si="64"/>
        <v>57432.95017</v>
      </c>
      <c r="F366" s="22">
        <f>46911.986+528.073+2144.784</f>
        <v>49584.84299999999</v>
      </c>
      <c r="G366" s="22">
        <f t="shared" si="65"/>
        <v>0</v>
      </c>
      <c r="H366" s="22"/>
      <c r="I366" s="22"/>
      <c r="J366" s="22">
        <f>7595.99717+252.11</f>
        <v>7848.107169999999</v>
      </c>
      <c r="K366" s="22">
        <v>0</v>
      </c>
      <c r="L366" s="3" t="s">
        <v>21</v>
      </c>
      <c r="M366" s="358"/>
    </row>
    <row r="367" spans="1:13" s="77" customFormat="1" ht="24.75" customHeight="1">
      <c r="A367" s="372"/>
      <c r="B367" s="398"/>
      <c r="C367" s="399"/>
      <c r="D367" s="379"/>
      <c r="E367" s="22">
        <f t="shared" si="64"/>
        <v>5966.100090000001</v>
      </c>
      <c r="F367" s="22">
        <v>0</v>
      </c>
      <c r="G367" s="22">
        <f t="shared" si="65"/>
        <v>0</v>
      </c>
      <c r="H367" s="22"/>
      <c r="I367" s="22"/>
      <c r="J367" s="22">
        <f>4712.3+667.168+264.33597+127.27612+136.43+58.59</f>
        <v>5966.100090000001</v>
      </c>
      <c r="K367" s="22">
        <v>0</v>
      </c>
      <c r="L367" s="3" t="s">
        <v>160</v>
      </c>
      <c r="M367" s="358"/>
    </row>
    <row r="368" spans="1:13" s="77" customFormat="1" ht="24.75" customHeight="1">
      <c r="A368" s="372"/>
      <c r="B368" s="398"/>
      <c r="C368" s="399"/>
      <c r="D368" s="379"/>
      <c r="E368" s="22">
        <f t="shared" si="64"/>
        <v>5395.09146</v>
      </c>
      <c r="F368" s="22">
        <v>0</v>
      </c>
      <c r="G368" s="22">
        <f t="shared" si="65"/>
        <v>0</v>
      </c>
      <c r="H368" s="22"/>
      <c r="I368" s="22"/>
      <c r="J368" s="22">
        <f>5746.63146-351.54</f>
        <v>5395.09146</v>
      </c>
      <c r="K368" s="22">
        <v>0</v>
      </c>
      <c r="L368" s="3" t="s">
        <v>159</v>
      </c>
      <c r="M368" s="358"/>
    </row>
    <row r="369" spans="1:13" s="77" customFormat="1" ht="24.75" customHeight="1">
      <c r="A369" s="372"/>
      <c r="B369" s="398"/>
      <c r="C369" s="399"/>
      <c r="D369" s="379"/>
      <c r="E369" s="22">
        <f t="shared" si="64"/>
        <v>59.5</v>
      </c>
      <c r="F369" s="22">
        <v>0</v>
      </c>
      <c r="G369" s="22">
        <f t="shared" si="65"/>
        <v>0</v>
      </c>
      <c r="H369" s="22"/>
      <c r="I369" s="22"/>
      <c r="J369" s="22">
        <v>59.5</v>
      </c>
      <c r="K369" s="22">
        <v>0</v>
      </c>
      <c r="L369" s="3" t="s">
        <v>231</v>
      </c>
      <c r="M369" s="358"/>
    </row>
    <row r="370" spans="1:13" s="77" customFormat="1" ht="43.5" customHeight="1">
      <c r="A370" s="372"/>
      <c r="B370" s="398"/>
      <c r="C370" s="399"/>
      <c r="D370" s="379"/>
      <c r="E370" s="22">
        <f t="shared" si="64"/>
        <v>7759.672289999999</v>
      </c>
      <c r="F370" s="22">
        <v>0</v>
      </c>
      <c r="G370" s="22">
        <f t="shared" si="65"/>
        <v>1276.052</v>
      </c>
      <c r="H370" s="22"/>
      <c r="I370" s="22">
        <f>1139.636+136.416</f>
        <v>1276.052</v>
      </c>
      <c r="J370" s="22">
        <f>5849.69929-59.5+585.9+107.521</f>
        <v>6483.620289999999</v>
      </c>
      <c r="K370" s="22">
        <v>0</v>
      </c>
      <c r="L370" s="3" t="s">
        <v>58</v>
      </c>
      <c r="M370" s="358"/>
    </row>
    <row r="371" spans="1:13" s="77" customFormat="1" ht="27" customHeight="1">
      <c r="A371" s="372"/>
      <c r="B371" s="398"/>
      <c r="C371" s="399"/>
      <c r="D371" s="379">
        <v>2020</v>
      </c>
      <c r="E371" s="48">
        <f aca="true" t="shared" si="66" ref="E371:E380">F371+G371+J371+K371</f>
        <v>232680.823</v>
      </c>
      <c r="F371" s="48">
        <f aca="true" t="shared" si="67" ref="F371:K371">SUM(F372:F380)</f>
        <v>149607</v>
      </c>
      <c r="G371" s="48">
        <f t="shared" si="67"/>
        <v>1271</v>
      </c>
      <c r="H371" s="48">
        <f t="shared" si="67"/>
        <v>0</v>
      </c>
      <c r="I371" s="48">
        <f t="shared" si="67"/>
        <v>1271</v>
      </c>
      <c r="J371" s="48">
        <f t="shared" si="67"/>
        <v>81802.823</v>
      </c>
      <c r="K371" s="48">
        <f t="shared" si="67"/>
        <v>0</v>
      </c>
      <c r="L371" s="3"/>
      <c r="M371" s="358"/>
    </row>
    <row r="372" spans="1:13" s="77" customFormat="1" ht="27" customHeight="1">
      <c r="A372" s="372"/>
      <c r="B372" s="398"/>
      <c r="C372" s="399"/>
      <c r="D372" s="379"/>
      <c r="E372" s="48">
        <f t="shared" si="66"/>
        <v>25384.932</v>
      </c>
      <c r="F372" s="22">
        <v>14700</v>
      </c>
      <c r="G372" s="22">
        <f>H372+I372</f>
        <v>0</v>
      </c>
      <c r="H372" s="22"/>
      <c r="I372" s="22"/>
      <c r="J372" s="22">
        <v>10684.932</v>
      </c>
      <c r="K372" s="22">
        <v>0</v>
      </c>
      <c r="L372" s="3" t="s">
        <v>10</v>
      </c>
      <c r="M372" s="358"/>
    </row>
    <row r="373" spans="1:13" s="77" customFormat="1" ht="27" customHeight="1">
      <c r="A373" s="372"/>
      <c r="B373" s="398"/>
      <c r="C373" s="399"/>
      <c r="D373" s="379"/>
      <c r="E373" s="48">
        <f t="shared" si="66"/>
        <v>52174.883</v>
      </c>
      <c r="F373" s="22">
        <v>30246</v>
      </c>
      <c r="G373" s="22">
        <f aca="true" t="shared" si="68" ref="G373:G380">H373+I373</f>
        <v>0</v>
      </c>
      <c r="H373" s="22"/>
      <c r="I373" s="22"/>
      <c r="J373" s="22">
        <v>21928.883</v>
      </c>
      <c r="K373" s="22">
        <v>0</v>
      </c>
      <c r="L373" s="3" t="s">
        <v>33</v>
      </c>
      <c r="M373" s="358"/>
    </row>
    <row r="374" spans="1:13" s="77" customFormat="1" ht="27" customHeight="1">
      <c r="A374" s="372"/>
      <c r="B374" s="398"/>
      <c r="C374" s="399"/>
      <c r="D374" s="379"/>
      <c r="E374" s="48">
        <f t="shared" si="66"/>
        <v>30992.02</v>
      </c>
      <c r="F374" s="22">
        <v>16200</v>
      </c>
      <c r="G374" s="22">
        <f t="shared" si="68"/>
        <v>0</v>
      </c>
      <c r="H374" s="22"/>
      <c r="I374" s="22"/>
      <c r="J374" s="22">
        <v>14792.02</v>
      </c>
      <c r="K374" s="22">
        <v>0</v>
      </c>
      <c r="L374" s="3" t="s">
        <v>34</v>
      </c>
      <c r="M374" s="358"/>
    </row>
    <row r="375" spans="1:13" s="77" customFormat="1" ht="27" customHeight="1">
      <c r="A375" s="372"/>
      <c r="B375" s="398"/>
      <c r="C375" s="399"/>
      <c r="D375" s="379"/>
      <c r="E375" s="48">
        <f t="shared" si="66"/>
        <v>48476.425</v>
      </c>
      <c r="F375" s="22">
        <v>40601</v>
      </c>
      <c r="G375" s="22">
        <f t="shared" si="68"/>
        <v>0</v>
      </c>
      <c r="H375" s="22"/>
      <c r="I375" s="22"/>
      <c r="J375" s="22">
        <v>7875.425</v>
      </c>
      <c r="K375" s="22">
        <v>0</v>
      </c>
      <c r="L375" s="3" t="s">
        <v>35</v>
      </c>
      <c r="M375" s="358"/>
    </row>
    <row r="376" spans="1:13" s="77" customFormat="1" ht="27" customHeight="1">
      <c r="A376" s="372"/>
      <c r="B376" s="398"/>
      <c r="C376" s="399"/>
      <c r="D376" s="379"/>
      <c r="E376" s="48">
        <f t="shared" si="66"/>
        <v>56366.19</v>
      </c>
      <c r="F376" s="22">
        <v>47860</v>
      </c>
      <c r="G376" s="22">
        <f t="shared" si="68"/>
        <v>0</v>
      </c>
      <c r="H376" s="22"/>
      <c r="I376" s="22"/>
      <c r="J376" s="22">
        <v>8506.19</v>
      </c>
      <c r="K376" s="22">
        <v>0</v>
      </c>
      <c r="L376" s="3" t="s">
        <v>21</v>
      </c>
      <c r="M376" s="358"/>
    </row>
    <row r="377" spans="1:13" s="77" customFormat="1" ht="27" customHeight="1">
      <c r="A377" s="372"/>
      <c r="B377" s="398"/>
      <c r="C377" s="399"/>
      <c r="D377" s="379"/>
      <c r="E377" s="48">
        <f t="shared" si="66"/>
        <v>5710.81</v>
      </c>
      <c r="F377" s="22">
        <v>0</v>
      </c>
      <c r="G377" s="22">
        <f t="shared" si="68"/>
        <v>0</v>
      </c>
      <c r="H377" s="22"/>
      <c r="I377" s="22"/>
      <c r="J377" s="22">
        <v>5710.81</v>
      </c>
      <c r="K377" s="22">
        <v>0</v>
      </c>
      <c r="L377" s="3" t="s">
        <v>228</v>
      </c>
      <c r="M377" s="358"/>
    </row>
    <row r="378" spans="1:13" s="77" customFormat="1" ht="27" customHeight="1">
      <c r="A378" s="372"/>
      <c r="B378" s="398"/>
      <c r="C378" s="399"/>
      <c r="D378" s="379"/>
      <c r="E378" s="48">
        <f t="shared" si="66"/>
        <v>5709.542</v>
      </c>
      <c r="F378" s="22"/>
      <c r="G378" s="22"/>
      <c r="H378" s="22"/>
      <c r="I378" s="22"/>
      <c r="J378" s="22">
        <v>5709.542</v>
      </c>
      <c r="K378" s="22"/>
      <c r="L378" s="3" t="s">
        <v>159</v>
      </c>
      <c r="M378" s="358"/>
    </row>
    <row r="379" spans="1:13" s="77" customFormat="1" ht="27" customHeight="1">
      <c r="A379" s="372"/>
      <c r="B379" s="398"/>
      <c r="C379" s="399"/>
      <c r="D379" s="379"/>
      <c r="E379" s="48">
        <f t="shared" si="66"/>
        <v>190</v>
      </c>
      <c r="F379" s="22"/>
      <c r="G379" s="22"/>
      <c r="H379" s="22"/>
      <c r="I379" s="22"/>
      <c r="J379" s="22">
        <v>190</v>
      </c>
      <c r="K379" s="22"/>
      <c r="L379" s="3" t="s">
        <v>230</v>
      </c>
      <c r="M379" s="358"/>
    </row>
    <row r="380" spans="1:13" s="77" customFormat="1" ht="27" customHeight="1">
      <c r="A380" s="372"/>
      <c r="B380" s="398"/>
      <c r="C380" s="399"/>
      <c r="D380" s="379"/>
      <c r="E380" s="48">
        <f t="shared" si="66"/>
        <v>7676.021</v>
      </c>
      <c r="F380" s="22">
        <v>0</v>
      </c>
      <c r="G380" s="22">
        <f t="shared" si="68"/>
        <v>1271</v>
      </c>
      <c r="H380" s="22"/>
      <c r="I380" s="22">
        <v>1271</v>
      </c>
      <c r="J380" s="22">
        <v>6405.021</v>
      </c>
      <c r="K380" s="22">
        <v>0</v>
      </c>
      <c r="L380" s="3" t="s">
        <v>229</v>
      </c>
      <c r="M380" s="358"/>
    </row>
    <row r="381" spans="1:13" s="77" customFormat="1" ht="27" customHeight="1">
      <c r="A381" s="372"/>
      <c r="B381" s="398"/>
      <c r="C381" s="399"/>
      <c r="D381" s="8">
        <v>2021</v>
      </c>
      <c r="E381" s="48">
        <f aca="true" t="shared" si="69" ref="E381:K381">SUM(E382:E390)</f>
        <v>215003.028</v>
      </c>
      <c r="F381" s="48">
        <f t="shared" si="69"/>
        <v>143532.8</v>
      </c>
      <c r="G381" s="48">
        <f t="shared" si="69"/>
        <v>1271</v>
      </c>
      <c r="H381" s="48">
        <f t="shared" si="69"/>
        <v>0</v>
      </c>
      <c r="I381" s="48">
        <f t="shared" si="69"/>
        <v>1271</v>
      </c>
      <c r="J381" s="48">
        <f t="shared" si="69"/>
        <v>70199.228</v>
      </c>
      <c r="K381" s="48">
        <f t="shared" si="69"/>
        <v>0</v>
      </c>
      <c r="L381" s="3"/>
      <c r="M381" s="358"/>
    </row>
    <row r="382" spans="1:13" s="77" customFormat="1" ht="27" customHeight="1">
      <c r="A382" s="372"/>
      <c r="B382" s="398"/>
      <c r="C382" s="399"/>
      <c r="D382" s="8"/>
      <c r="E382" s="48">
        <f>F382+G382+J382+K382</f>
        <v>23060.217</v>
      </c>
      <c r="F382" s="22">
        <v>14100</v>
      </c>
      <c r="G382" s="22">
        <f>H382+I382</f>
        <v>0</v>
      </c>
      <c r="H382" s="22"/>
      <c r="I382" s="22"/>
      <c r="J382" s="22">
        <v>8960.217</v>
      </c>
      <c r="K382" s="22">
        <v>0</v>
      </c>
      <c r="L382" s="3" t="s">
        <v>10</v>
      </c>
      <c r="M382" s="358"/>
    </row>
    <row r="383" spans="1:13" s="77" customFormat="1" ht="27" customHeight="1">
      <c r="A383" s="372"/>
      <c r="B383" s="398"/>
      <c r="C383" s="399"/>
      <c r="D383" s="8"/>
      <c r="E383" s="48">
        <f aca="true" t="shared" si="70" ref="E383:E390">F383+G383+J383+K383</f>
        <v>48097.827000000005</v>
      </c>
      <c r="F383" s="22">
        <v>29100</v>
      </c>
      <c r="G383" s="22">
        <f aca="true" t="shared" si="71" ref="G383:G390">H383+I383</f>
        <v>0</v>
      </c>
      <c r="H383" s="22"/>
      <c r="I383" s="22"/>
      <c r="J383" s="22">
        <v>18997.827</v>
      </c>
      <c r="K383" s="22">
        <v>0</v>
      </c>
      <c r="L383" s="3" t="s">
        <v>33</v>
      </c>
      <c r="M383" s="358"/>
    </row>
    <row r="384" spans="1:13" s="77" customFormat="1" ht="27" customHeight="1">
      <c r="A384" s="372"/>
      <c r="B384" s="398"/>
      <c r="C384" s="399"/>
      <c r="D384" s="8"/>
      <c r="E384" s="48">
        <f t="shared" si="70"/>
        <v>27568.181</v>
      </c>
      <c r="F384" s="22">
        <v>15500</v>
      </c>
      <c r="G384" s="22">
        <f t="shared" si="71"/>
        <v>0</v>
      </c>
      <c r="H384" s="22"/>
      <c r="I384" s="22"/>
      <c r="J384" s="22">
        <v>12068.181</v>
      </c>
      <c r="K384" s="22">
        <v>0</v>
      </c>
      <c r="L384" s="3" t="s">
        <v>34</v>
      </c>
      <c r="M384" s="358"/>
    </row>
    <row r="385" spans="1:13" s="77" customFormat="1" ht="27" customHeight="1">
      <c r="A385" s="372"/>
      <c r="B385" s="398"/>
      <c r="C385" s="399"/>
      <c r="D385" s="8"/>
      <c r="E385" s="48">
        <f t="shared" si="70"/>
        <v>45325.39</v>
      </c>
      <c r="F385" s="22">
        <v>39232.8</v>
      </c>
      <c r="G385" s="22">
        <f t="shared" si="71"/>
        <v>0</v>
      </c>
      <c r="H385" s="22"/>
      <c r="I385" s="22"/>
      <c r="J385" s="22">
        <v>6092.59</v>
      </c>
      <c r="K385" s="22">
        <v>0</v>
      </c>
      <c r="L385" s="3" t="s">
        <v>35</v>
      </c>
      <c r="M385" s="358"/>
    </row>
    <row r="386" spans="1:13" s="77" customFormat="1" ht="27" customHeight="1">
      <c r="A386" s="372"/>
      <c r="B386" s="398"/>
      <c r="C386" s="399"/>
      <c r="D386" s="8"/>
      <c r="E386" s="48">
        <f t="shared" si="70"/>
        <v>52665.04</v>
      </c>
      <c r="F386" s="22">
        <v>45600</v>
      </c>
      <c r="G386" s="22">
        <f t="shared" si="71"/>
        <v>0</v>
      </c>
      <c r="H386" s="22"/>
      <c r="I386" s="22"/>
      <c r="J386" s="22">
        <v>7065.04</v>
      </c>
      <c r="K386" s="22">
        <v>0</v>
      </c>
      <c r="L386" s="3" t="s">
        <v>21</v>
      </c>
      <c r="M386" s="358"/>
    </row>
    <row r="387" spans="1:13" s="77" customFormat="1" ht="27" customHeight="1">
      <c r="A387" s="372"/>
      <c r="B387" s="398"/>
      <c r="C387" s="399"/>
      <c r="D387" s="8"/>
      <c r="E387" s="48">
        <f t="shared" si="70"/>
        <v>4710.81</v>
      </c>
      <c r="F387" s="22">
        <v>0</v>
      </c>
      <c r="G387" s="22">
        <f t="shared" si="71"/>
        <v>0</v>
      </c>
      <c r="H387" s="22"/>
      <c r="I387" s="22"/>
      <c r="J387" s="22">
        <v>4710.81</v>
      </c>
      <c r="K387" s="22">
        <v>0</v>
      </c>
      <c r="L387" s="3" t="s">
        <v>232</v>
      </c>
      <c r="M387" s="358"/>
    </row>
    <row r="388" spans="1:13" s="77" customFormat="1" ht="27" customHeight="1">
      <c r="A388" s="372"/>
      <c r="B388" s="398"/>
      <c r="C388" s="399"/>
      <c r="D388" s="8"/>
      <c r="E388" s="48">
        <f t="shared" si="70"/>
        <v>5709.542</v>
      </c>
      <c r="F388" s="22">
        <v>0</v>
      </c>
      <c r="G388" s="22">
        <f t="shared" si="71"/>
        <v>0</v>
      </c>
      <c r="H388" s="22"/>
      <c r="I388" s="22"/>
      <c r="J388" s="22">
        <v>5709.542</v>
      </c>
      <c r="K388" s="22"/>
      <c r="L388" s="6" t="s">
        <v>159</v>
      </c>
      <c r="M388" s="358"/>
    </row>
    <row r="389" spans="1:13" s="77" customFormat="1" ht="27" customHeight="1">
      <c r="A389" s="372"/>
      <c r="B389" s="398"/>
      <c r="C389" s="399"/>
      <c r="D389" s="8"/>
      <c r="E389" s="48">
        <f t="shared" si="70"/>
        <v>190</v>
      </c>
      <c r="F389" s="22">
        <v>0</v>
      </c>
      <c r="G389" s="22">
        <f t="shared" si="71"/>
        <v>0</v>
      </c>
      <c r="H389" s="22"/>
      <c r="I389" s="22"/>
      <c r="J389" s="22">
        <v>190</v>
      </c>
      <c r="K389" s="22"/>
      <c r="L389" s="6" t="s">
        <v>230</v>
      </c>
      <c r="M389" s="358"/>
    </row>
    <row r="390" spans="1:13" s="77" customFormat="1" ht="31.5" customHeight="1">
      <c r="A390" s="372"/>
      <c r="B390" s="398"/>
      <c r="C390" s="399"/>
      <c r="D390" s="8"/>
      <c r="E390" s="48">
        <f t="shared" si="70"/>
        <v>7676.021</v>
      </c>
      <c r="F390" s="22">
        <v>0</v>
      </c>
      <c r="G390" s="22">
        <f t="shared" si="71"/>
        <v>1271</v>
      </c>
      <c r="H390" s="22"/>
      <c r="I390" s="22">
        <v>1271</v>
      </c>
      <c r="J390" s="22">
        <v>6405.021</v>
      </c>
      <c r="K390" s="22">
        <v>0</v>
      </c>
      <c r="L390" s="6" t="s">
        <v>229</v>
      </c>
      <c r="M390" s="358"/>
    </row>
    <row r="391" spans="1:13" s="77" customFormat="1" ht="27.75" customHeight="1">
      <c r="A391" s="372"/>
      <c r="B391" s="398"/>
      <c r="C391" s="399"/>
      <c r="D391" s="379">
        <v>2022</v>
      </c>
      <c r="E391" s="48">
        <f aca="true" t="shared" si="72" ref="E391:K391">SUM(E392:E400)</f>
        <v>214180.92799999999</v>
      </c>
      <c r="F391" s="48">
        <f t="shared" si="72"/>
        <v>143532.8</v>
      </c>
      <c r="G391" s="48">
        <f t="shared" si="72"/>
        <v>1271</v>
      </c>
      <c r="H391" s="48">
        <f t="shared" si="72"/>
        <v>0</v>
      </c>
      <c r="I391" s="48">
        <f t="shared" si="72"/>
        <v>1271</v>
      </c>
      <c r="J391" s="48">
        <f t="shared" si="72"/>
        <v>69377.128</v>
      </c>
      <c r="K391" s="48">
        <f t="shared" si="72"/>
        <v>0</v>
      </c>
      <c r="L391" s="6"/>
      <c r="M391" s="358"/>
    </row>
    <row r="392" spans="1:13" s="77" customFormat="1" ht="27" customHeight="1">
      <c r="A392" s="372"/>
      <c r="B392" s="398"/>
      <c r="C392" s="399"/>
      <c r="D392" s="379"/>
      <c r="E392" s="48">
        <f>F392+G392+J392+K392</f>
        <v>23313.503</v>
      </c>
      <c r="F392" s="22">
        <v>14100</v>
      </c>
      <c r="G392" s="22">
        <f>H392+I392</f>
        <v>0</v>
      </c>
      <c r="H392" s="22"/>
      <c r="I392" s="22"/>
      <c r="J392" s="22">
        <v>9213.503</v>
      </c>
      <c r="K392" s="22">
        <v>0</v>
      </c>
      <c r="L392" s="6" t="s">
        <v>10</v>
      </c>
      <c r="M392" s="358"/>
    </row>
    <row r="393" spans="1:13" s="77" customFormat="1" ht="27" customHeight="1">
      <c r="A393" s="372"/>
      <c r="B393" s="398"/>
      <c r="C393" s="399"/>
      <c r="D393" s="379"/>
      <c r="E393" s="48">
        <f aca="true" t="shared" si="73" ref="E393:E400">F393+G393+J393+K393</f>
        <v>47839.525</v>
      </c>
      <c r="F393" s="22">
        <v>29100</v>
      </c>
      <c r="G393" s="22">
        <f aca="true" t="shared" si="74" ref="G393:G400">H393+I393</f>
        <v>0</v>
      </c>
      <c r="H393" s="22"/>
      <c r="I393" s="22"/>
      <c r="J393" s="22">
        <v>18739.525</v>
      </c>
      <c r="K393" s="22">
        <v>0</v>
      </c>
      <c r="L393" s="6" t="s">
        <v>33</v>
      </c>
      <c r="M393" s="358"/>
    </row>
    <row r="394" spans="1:13" s="77" customFormat="1" ht="27" customHeight="1">
      <c r="A394" s="372"/>
      <c r="B394" s="398"/>
      <c r="C394" s="399"/>
      <c r="D394" s="379"/>
      <c r="E394" s="48">
        <f t="shared" si="73"/>
        <v>27147.337</v>
      </c>
      <c r="F394" s="22">
        <v>15500</v>
      </c>
      <c r="G394" s="22">
        <f t="shared" si="74"/>
        <v>0</v>
      </c>
      <c r="H394" s="22"/>
      <c r="I394" s="22"/>
      <c r="J394" s="22">
        <v>11647.337</v>
      </c>
      <c r="K394" s="22">
        <v>0</v>
      </c>
      <c r="L394" s="6" t="s">
        <v>34</v>
      </c>
      <c r="M394" s="358"/>
    </row>
    <row r="395" spans="1:13" s="77" customFormat="1" ht="27" customHeight="1">
      <c r="A395" s="372"/>
      <c r="B395" s="398"/>
      <c r="C395" s="399"/>
      <c r="D395" s="379"/>
      <c r="E395" s="48">
        <f t="shared" si="73"/>
        <v>45275.306000000004</v>
      </c>
      <c r="F395" s="22">
        <v>39232.8</v>
      </c>
      <c r="G395" s="22">
        <f t="shared" si="74"/>
        <v>0</v>
      </c>
      <c r="H395" s="22"/>
      <c r="I395" s="22"/>
      <c r="J395" s="22">
        <v>6042.506</v>
      </c>
      <c r="K395" s="22">
        <v>0</v>
      </c>
      <c r="L395" s="6" t="s">
        <v>35</v>
      </c>
      <c r="M395" s="358"/>
    </row>
    <row r="396" spans="1:13" s="77" customFormat="1" ht="27" customHeight="1">
      <c r="A396" s="372"/>
      <c r="B396" s="398"/>
      <c r="C396" s="399"/>
      <c r="D396" s="379"/>
      <c r="E396" s="48">
        <f t="shared" si="73"/>
        <v>52318.884</v>
      </c>
      <c r="F396" s="22">
        <v>45600</v>
      </c>
      <c r="G396" s="22">
        <f t="shared" si="74"/>
        <v>0</v>
      </c>
      <c r="H396" s="22"/>
      <c r="I396" s="22"/>
      <c r="J396" s="22">
        <v>6718.884</v>
      </c>
      <c r="K396" s="22">
        <v>0</v>
      </c>
      <c r="L396" s="6" t="s">
        <v>21</v>
      </c>
      <c r="M396" s="358"/>
    </row>
    <row r="397" spans="1:13" s="77" customFormat="1" ht="27" customHeight="1">
      <c r="A397" s="372"/>
      <c r="B397" s="398"/>
      <c r="C397" s="399"/>
      <c r="D397" s="379"/>
      <c r="E397" s="48">
        <f t="shared" si="73"/>
        <v>4710.81</v>
      </c>
      <c r="F397" s="22">
        <v>0</v>
      </c>
      <c r="G397" s="22">
        <f t="shared" si="74"/>
        <v>0</v>
      </c>
      <c r="H397" s="22"/>
      <c r="I397" s="22"/>
      <c r="J397" s="22">
        <v>4710.81</v>
      </c>
      <c r="K397" s="22">
        <v>0</v>
      </c>
      <c r="L397" s="6" t="s">
        <v>232</v>
      </c>
      <c r="M397" s="358"/>
    </row>
    <row r="398" spans="1:13" s="77" customFormat="1" ht="27" customHeight="1">
      <c r="A398" s="372"/>
      <c r="B398" s="398"/>
      <c r="C398" s="399"/>
      <c r="D398" s="379"/>
      <c r="E398" s="48">
        <f t="shared" si="73"/>
        <v>5709.542</v>
      </c>
      <c r="F398" s="22">
        <v>0</v>
      </c>
      <c r="G398" s="22">
        <f t="shared" si="74"/>
        <v>0</v>
      </c>
      <c r="H398" s="22"/>
      <c r="I398" s="22"/>
      <c r="J398" s="22">
        <v>5709.542</v>
      </c>
      <c r="K398" s="22">
        <v>0</v>
      </c>
      <c r="L398" s="6" t="s">
        <v>159</v>
      </c>
      <c r="M398" s="358"/>
    </row>
    <row r="399" spans="1:13" s="77" customFormat="1" ht="27" customHeight="1">
      <c r="A399" s="372"/>
      <c r="B399" s="398"/>
      <c r="C399" s="399"/>
      <c r="D399" s="379"/>
      <c r="E399" s="48">
        <f t="shared" si="73"/>
        <v>190</v>
      </c>
      <c r="F399" s="22">
        <v>0</v>
      </c>
      <c r="G399" s="22">
        <f t="shared" si="74"/>
        <v>0</v>
      </c>
      <c r="H399" s="22"/>
      <c r="I399" s="22"/>
      <c r="J399" s="22">
        <v>190</v>
      </c>
      <c r="K399" s="22">
        <v>0</v>
      </c>
      <c r="L399" s="6" t="s">
        <v>230</v>
      </c>
      <c r="M399" s="358"/>
    </row>
    <row r="400" spans="1:13" s="77" customFormat="1" ht="27" customHeight="1">
      <c r="A400" s="372"/>
      <c r="B400" s="400"/>
      <c r="C400" s="401"/>
      <c r="D400" s="379"/>
      <c r="E400" s="48">
        <f t="shared" si="73"/>
        <v>7676.021</v>
      </c>
      <c r="F400" s="22">
        <v>0</v>
      </c>
      <c r="G400" s="22">
        <f t="shared" si="74"/>
        <v>1271</v>
      </c>
      <c r="H400" s="22"/>
      <c r="I400" s="22">
        <v>1271</v>
      </c>
      <c r="J400" s="22">
        <v>6405.021</v>
      </c>
      <c r="K400" s="22">
        <v>0</v>
      </c>
      <c r="L400" s="6" t="s">
        <v>229</v>
      </c>
      <c r="M400" s="358"/>
    </row>
    <row r="401" spans="1:13" s="77" customFormat="1" ht="27" customHeight="1">
      <c r="A401" s="402"/>
      <c r="B401" s="473" t="s">
        <v>42</v>
      </c>
      <c r="C401" s="473"/>
      <c r="D401" s="8">
        <v>2017</v>
      </c>
      <c r="E401" s="48">
        <f aca="true" t="shared" si="75" ref="E401:J401">E336+E345</f>
        <v>216780.416</v>
      </c>
      <c r="F401" s="48">
        <f t="shared" si="75"/>
        <v>124615.2</v>
      </c>
      <c r="G401" s="48">
        <f t="shared" si="75"/>
        <v>727</v>
      </c>
      <c r="H401" s="48">
        <f t="shared" si="75"/>
        <v>0</v>
      </c>
      <c r="I401" s="48">
        <f>I336+I345</f>
        <v>727</v>
      </c>
      <c r="J401" s="48">
        <f t="shared" si="75"/>
        <v>91438.216</v>
      </c>
      <c r="K401" s="48">
        <f>K345+K336+K327+K278+K277+K276+K275+K274+K273+K272+K229+K228</f>
        <v>0</v>
      </c>
      <c r="L401" s="6"/>
      <c r="M401" s="24"/>
    </row>
    <row r="402" spans="1:13" s="77" customFormat="1" ht="27" customHeight="1">
      <c r="A402" s="402"/>
      <c r="B402" s="473"/>
      <c r="C402" s="473"/>
      <c r="D402" s="8">
        <v>2018</v>
      </c>
      <c r="E402" s="48">
        <f aca="true" t="shared" si="76" ref="E402:J402">E355+E347</f>
        <v>209116.99978</v>
      </c>
      <c r="F402" s="48">
        <f t="shared" si="76"/>
        <v>137344.5</v>
      </c>
      <c r="G402" s="48">
        <f t="shared" si="76"/>
        <v>1006.9820000000001</v>
      </c>
      <c r="H402" s="48">
        <f t="shared" si="76"/>
        <v>0</v>
      </c>
      <c r="I402" s="48">
        <f t="shared" si="76"/>
        <v>1006.9820000000001</v>
      </c>
      <c r="J402" s="48">
        <f t="shared" si="76"/>
        <v>70765.51778000001</v>
      </c>
      <c r="K402" s="48">
        <f>K347</f>
        <v>0</v>
      </c>
      <c r="L402" s="6"/>
      <c r="M402" s="24"/>
    </row>
    <row r="403" spans="1:13" s="77" customFormat="1" ht="27" customHeight="1">
      <c r="A403" s="402"/>
      <c r="B403" s="473"/>
      <c r="C403" s="473"/>
      <c r="D403" s="8">
        <v>2019</v>
      </c>
      <c r="E403" s="48">
        <f aca="true" t="shared" si="77" ref="E403:K403">E361</f>
        <v>229770.53044</v>
      </c>
      <c r="F403" s="48">
        <f t="shared" si="77"/>
        <v>150533.8</v>
      </c>
      <c r="G403" s="48">
        <f t="shared" si="77"/>
        <v>1276.052</v>
      </c>
      <c r="H403" s="48">
        <f t="shared" si="77"/>
        <v>0</v>
      </c>
      <c r="I403" s="48">
        <f t="shared" si="77"/>
        <v>1276.052</v>
      </c>
      <c r="J403" s="48">
        <f>J361</f>
        <v>77960.67844000002</v>
      </c>
      <c r="K403" s="48">
        <f t="shared" si="77"/>
        <v>0</v>
      </c>
      <c r="L403" s="6"/>
      <c r="M403" s="24"/>
    </row>
    <row r="404" spans="1:13" s="77" customFormat="1" ht="27" customHeight="1">
      <c r="A404" s="402"/>
      <c r="B404" s="473"/>
      <c r="C404" s="473"/>
      <c r="D404" s="8">
        <v>2020</v>
      </c>
      <c r="E404" s="48">
        <f aca="true" t="shared" si="78" ref="E404:K404">E371</f>
        <v>232680.823</v>
      </c>
      <c r="F404" s="48">
        <f t="shared" si="78"/>
        <v>149607</v>
      </c>
      <c r="G404" s="48">
        <f t="shared" si="78"/>
        <v>1271</v>
      </c>
      <c r="H404" s="48">
        <f t="shared" si="78"/>
        <v>0</v>
      </c>
      <c r="I404" s="48">
        <f t="shared" si="78"/>
        <v>1271</v>
      </c>
      <c r="J404" s="48">
        <f t="shared" si="78"/>
        <v>81802.823</v>
      </c>
      <c r="K404" s="48">
        <f t="shared" si="78"/>
        <v>0</v>
      </c>
      <c r="L404" s="6"/>
      <c r="M404" s="24"/>
    </row>
    <row r="405" spans="1:13" s="77" customFormat="1" ht="27" customHeight="1">
      <c r="A405" s="402"/>
      <c r="B405" s="473"/>
      <c r="C405" s="473"/>
      <c r="D405" s="8">
        <v>2021</v>
      </c>
      <c r="E405" s="48">
        <f aca="true" t="shared" si="79" ref="E405:K405">E381</f>
        <v>215003.028</v>
      </c>
      <c r="F405" s="48">
        <f t="shared" si="79"/>
        <v>143532.8</v>
      </c>
      <c r="G405" s="48">
        <f t="shared" si="79"/>
        <v>1271</v>
      </c>
      <c r="H405" s="48">
        <f t="shared" si="79"/>
        <v>0</v>
      </c>
      <c r="I405" s="48">
        <f t="shared" si="79"/>
        <v>1271</v>
      </c>
      <c r="J405" s="48">
        <f t="shared" si="79"/>
        <v>70199.228</v>
      </c>
      <c r="K405" s="48">
        <f t="shared" si="79"/>
        <v>0</v>
      </c>
      <c r="L405" s="6"/>
      <c r="M405" s="24"/>
    </row>
    <row r="406" spans="1:13" s="77" customFormat="1" ht="27" customHeight="1">
      <c r="A406" s="402"/>
      <c r="B406" s="473"/>
      <c r="C406" s="473"/>
      <c r="D406" s="8">
        <v>2022</v>
      </c>
      <c r="E406" s="48">
        <f aca="true" t="shared" si="80" ref="E406:K406">E391</f>
        <v>214180.92799999999</v>
      </c>
      <c r="F406" s="48">
        <f t="shared" si="80"/>
        <v>143532.8</v>
      </c>
      <c r="G406" s="48">
        <f t="shared" si="80"/>
        <v>1271</v>
      </c>
      <c r="H406" s="48">
        <f t="shared" si="80"/>
        <v>0</v>
      </c>
      <c r="I406" s="48">
        <f t="shared" si="80"/>
        <v>1271</v>
      </c>
      <c r="J406" s="48">
        <f t="shared" si="80"/>
        <v>69377.128</v>
      </c>
      <c r="K406" s="48">
        <f t="shared" si="80"/>
        <v>0</v>
      </c>
      <c r="L406" s="6"/>
      <c r="M406" s="24"/>
    </row>
    <row r="407" spans="1:13" s="77" customFormat="1" ht="27" customHeight="1">
      <c r="A407" s="427" t="s">
        <v>61</v>
      </c>
      <c r="B407" s="390"/>
      <c r="C407" s="390"/>
      <c r="D407" s="390"/>
      <c r="E407" s="390"/>
      <c r="F407" s="390"/>
      <c r="G407" s="390"/>
      <c r="H407" s="390"/>
      <c r="I407" s="390"/>
      <c r="J407" s="390"/>
      <c r="K407" s="390"/>
      <c r="L407" s="390"/>
      <c r="M407" s="391"/>
    </row>
    <row r="408" spans="1:13" s="77" customFormat="1" ht="27" customHeight="1">
      <c r="A408" s="426" t="s">
        <v>145</v>
      </c>
      <c r="B408" s="393"/>
      <c r="C408" s="393"/>
      <c r="D408" s="393"/>
      <c r="E408" s="393"/>
      <c r="F408" s="393"/>
      <c r="G408" s="393"/>
      <c r="H408" s="393"/>
      <c r="I408" s="393"/>
      <c r="J408" s="393"/>
      <c r="K408" s="393"/>
      <c r="L408" s="394"/>
      <c r="M408" s="24"/>
    </row>
    <row r="409" spans="1:13" s="77" customFormat="1" ht="29.25" customHeight="1">
      <c r="A409" s="421" t="s">
        <v>26</v>
      </c>
      <c r="B409" s="422"/>
      <c r="C409" s="422"/>
      <c r="D409" s="422"/>
      <c r="E409" s="422"/>
      <c r="F409" s="422"/>
      <c r="G409" s="422"/>
      <c r="H409" s="422"/>
      <c r="I409" s="422"/>
      <c r="J409" s="422"/>
      <c r="K409" s="422"/>
      <c r="L409" s="422"/>
      <c r="M409" s="423"/>
    </row>
    <row r="410" spans="1:13" s="77" customFormat="1" ht="24.75" customHeight="1">
      <c r="A410" s="372" t="s">
        <v>95</v>
      </c>
      <c r="B410" s="403" t="s">
        <v>146</v>
      </c>
      <c r="C410" s="404"/>
      <c r="D410" s="8">
        <v>2017</v>
      </c>
      <c r="E410" s="47">
        <f aca="true" t="shared" si="81" ref="E410:E415">F410+G410+J410+K410</f>
        <v>7260.311</v>
      </c>
      <c r="F410" s="10"/>
      <c r="G410" s="10">
        <f aca="true" t="shared" si="82" ref="G410:G415">H410+I410</f>
        <v>0</v>
      </c>
      <c r="H410" s="47">
        <v>0</v>
      </c>
      <c r="I410" s="47">
        <v>0</v>
      </c>
      <c r="J410" s="47">
        <v>7260.311</v>
      </c>
      <c r="K410" s="10">
        <v>0</v>
      </c>
      <c r="L410" s="3" t="s">
        <v>155</v>
      </c>
      <c r="M410" s="358" t="s">
        <v>70</v>
      </c>
    </row>
    <row r="411" spans="1:13" s="77" customFormat="1" ht="24.75" customHeight="1">
      <c r="A411" s="372"/>
      <c r="B411" s="405"/>
      <c r="C411" s="406"/>
      <c r="D411" s="8">
        <v>2018</v>
      </c>
      <c r="E411" s="47">
        <f t="shared" si="81"/>
        <v>8308.2425</v>
      </c>
      <c r="F411" s="10"/>
      <c r="G411" s="10">
        <f t="shared" si="82"/>
        <v>0</v>
      </c>
      <c r="H411" s="47">
        <v>0</v>
      </c>
      <c r="I411" s="47">
        <v>0</v>
      </c>
      <c r="J411" s="47">
        <f>8213.1695+95.073</f>
        <v>8308.2425</v>
      </c>
      <c r="K411" s="10">
        <v>0</v>
      </c>
      <c r="L411" s="3" t="s">
        <v>155</v>
      </c>
      <c r="M411" s="358"/>
    </row>
    <row r="412" spans="1:13" s="77" customFormat="1" ht="24.75" customHeight="1">
      <c r="A412" s="372"/>
      <c r="B412" s="405"/>
      <c r="C412" s="406"/>
      <c r="D412" s="8">
        <v>2019</v>
      </c>
      <c r="E412" s="47">
        <f t="shared" si="81"/>
        <v>8783.56033</v>
      </c>
      <c r="F412" s="10"/>
      <c r="G412" s="10">
        <f t="shared" si="82"/>
        <v>0</v>
      </c>
      <c r="H412" s="47">
        <v>0</v>
      </c>
      <c r="I412" s="47">
        <v>0</v>
      </c>
      <c r="J412" s="47">
        <f>8729.252+86.622-32.31367</f>
        <v>8783.56033</v>
      </c>
      <c r="K412" s="47">
        <v>0</v>
      </c>
      <c r="L412" s="3" t="s">
        <v>155</v>
      </c>
      <c r="M412" s="358"/>
    </row>
    <row r="413" spans="1:13" s="77" customFormat="1" ht="24.75" customHeight="1">
      <c r="A413" s="372"/>
      <c r="B413" s="405"/>
      <c r="C413" s="406"/>
      <c r="D413" s="8">
        <v>2020</v>
      </c>
      <c r="E413" s="47">
        <f t="shared" si="81"/>
        <v>8976.345</v>
      </c>
      <c r="F413" s="10"/>
      <c r="G413" s="10">
        <f t="shared" si="82"/>
        <v>0</v>
      </c>
      <c r="H413" s="47">
        <v>0</v>
      </c>
      <c r="I413" s="47">
        <v>0</v>
      </c>
      <c r="J413" s="47">
        <v>8976.345</v>
      </c>
      <c r="K413" s="10">
        <v>0</v>
      </c>
      <c r="L413" s="3" t="s">
        <v>155</v>
      </c>
      <c r="M413" s="358"/>
    </row>
    <row r="414" spans="1:13" s="77" customFormat="1" ht="24.75" customHeight="1">
      <c r="A414" s="372"/>
      <c r="B414" s="405"/>
      <c r="C414" s="406"/>
      <c r="D414" s="8">
        <v>2021</v>
      </c>
      <c r="E414" s="47">
        <f t="shared" si="81"/>
        <v>8976.443</v>
      </c>
      <c r="F414" s="10"/>
      <c r="G414" s="10">
        <f t="shared" si="82"/>
        <v>0</v>
      </c>
      <c r="H414" s="47">
        <v>0</v>
      </c>
      <c r="I414" s="47">
        <v>0</v>
      </c>
      <c r="J414" s="47">
        <v>8976.443</v>
      </c>
      <c r="K414" s="10">
        <v>0</v>
      </c>
      <c r="L414" s="3" t="s">
        <v>155</v>
      </c>
      <c r="M414" s="358"/>
    </row>
    <row r="415" spans="1:13" s="77" customFormat="1" ht="24.75" customHeight="1">
      <c r="A415" s="372"/>
      <c r="B415" s="407"/>
      <c r="C415" s="408"/>
      <c r="D415" s="8">
        <v>2022</v>
      </c>
      <c r="E415" s="47">
        <f t="shared" si="81"/>
        <v>8976.443</v>
      </c>
      <c r="F415" s="10"/>
      <c r="G415" s="10">
        <f t="shared" si="82"/>
        <v>0</v>
      </c>
      <c r="H415" s="47">
        <v>0</v>
      </c>
      <c r="I415" s="47">
        <v>0</v>
      </c>
      <c r="J415" s="47">
        <v>8976.443</v>
      </c>
      <c r="K415" s="10">
        <v>0</v>
      </c>
      <c r="L415" s="3" t="s">
        <v>155</v>
      </c>
      <c r="M415" s="358"/>
    </row>
    <row r="416" spans="1:13" s="77" customFormat="1" ht="27" customHeight="1">
      <c r="A416" s="389" t="s">
        <v>22</v>
      </c>
      <c r="B416" s="390"/>
      <c r="C416" s="390"/>
      <c r="D416" s="390"/>
      <c r="E416" s="390"/>
      <c r="F416" s="390"/>
      <c r="G416" s="390"/>
      <c r="H416" s="390"/>
      <c r="I416" s="390"/>
      <c r="J416" s="390"/>
      <c r="K416" s="390"/>
      <c r="L416" s="390"/>
      <c r="M416" s="391"/>
    </row>
    <row r="417" spans="1:13" s="77" customFormat="1" ht="27" customHeight="1">
      <c r="A417" s="392" t="s">
        <v>27</v>
      </c>
      <c r="B417" s="393"/>
      <c r="C417" s="393"/>
      <c r="D417" s="393"/>
      <c r="E417" s="393"/>
      <c r="F417" s="393"/>
      <c r="G417" s="393"/>
      <c r="H417" s="393"/>
      <c r="I417" s="393"/>
      <c r="J417" s="393"/>
      <c r="K417" s="393"/>
      <c r="L417" s="393"/>
      <c r="M417" s="394"/>
    </row>
    <row r="418" spans="1:13" s="77" customFormat="1" ht="27" customHeight="1">
      <c r="A418" s="395" t="s">
        <v>28</v>
      </c>
      <c r="B418" s="393"/>
      <c r="C418" s="393"/>
      <c r="D418" s="393"/>
      <c r="E418" s="393"/>
      <c r="F418" s="393"/>
      <c r="G418" s="393"/>
      <c r="H418" s="393"/>
      <c r="I418" s="393"/>
      <c r="J418" s="393"/>
      <c r="K418" s="393"/>
      <c r="L418" s="393"/>
      <c r="M418" s="394"/>
    </row>
    <row r="419" spans="1:13" s="77" customFormat="1" ht="24.75" customHeight="1">
      <c r="A419" s="372" t="s">
        <v>96</v>
      </c>
      <c r="B419" s="448" t="s">
        <v>147</v>
      </c>
      <c r="C419" s="448"/>
      <c r="D419" s="8">
        <v>2017</v>
      </c>
      <c r="E419" s="2">
        <f aca="true" t="shared" si="83" ref="E419:E437">F419+G419+J419+K419</f>
        <v>292.4</v>
      </c>
      <c r="F419" s="2">
        <v>292.4</v>
      </c>
      <c r="G419" s="2">
        <f>H419+I419</f>
        <v>0</v>
      </c>
      <c r="H419" s="2"/>
      <c r="I419" s="2">
        <v>0</v>
      </c>
      <c r="J419" s="23">
        <v>0</v>
      </c>
      <c r="K419" s="23">
        <v>0</v>
      </c>
      <c r="L419" s="3" t="s">
        <v>3</v>
      </c>
      <c r="M419" s="358" t="s">
        <v>62</v>
      </c>
    </row>
    <row r="420" spans="1:13" s="77" customFormat="1" ht="24.75" customHeight="1">
      <c r="A420" s="372"/>
      <c r="B420" s="448"/>
      <c r="C420" s="448"/>
      <c r="D420" s="8">
        <v>2018</v>
      </c>
      <c r="E420" s="2">
        <f t="shared" si="83"/>
        <v>233.2</v>
      </c>
      <c r="F420" s="2">
        <v>233.2</v>
      </c>
      <c r="G420" s="2">
        <f aca="true" t="shared" si="84" ref="G420:G436">H420+I420</f>
        <v>0</v>
      </c>
      <c r="H420" s="2"/>
      <c r="I420" s="2">
        <v>0</v>
      </c>
      <c r="J420" s="23">
        <v>0</v>
      </c>
      <c r="K420" s="23">
        <v>0</v>
      </c>
      <c r="L420" s="3" t="s">
        <v>3</v>
      </c>
      <c r="M420" s="439"/>
    </row>
    <row r="421" spans="1:13" s="77" customFormat="1" ht="24.75" customHeight="1">
      <c r="A421" s="372"/>
      <c r="B421" s="448"/>
      <c r="C421" s="448"/>
      <c r="D421" s="8">
        <v>2019</v>
      </c>
      <c r="E421" s="2">
        <f t="shared" si="83"/>
        <v>281.9</v>
      </c>
      <c r="F421" s="2">
        <v>281.9</v>
      </c>
      <c r="G421" s="2">
        <f t="shared" si="84"/>
        <v>0</v>
      </c>
      <c r="H421" s="2"/>
      <c r="I421" s="2">
        <v>0</v>
      </c>
      <c r="J421" s="23">
        <v>0</v>
      </c>
      <c r="K421" s="23">
        <v>0</v>
      </c>
      <c r="L421" s="3" t="s">
        <v>3</v>
      </c>
      <c r="M421" s="439"/>
    </row>
    <row r="422" spans="1:13" s="77" customFormat="1" ht="24.75" customHeight="1">
      <c r="A422" s="372"/>
      <c r="B422" s="448"/>
      <c r="C422" s="448"/>
      <c r="D422" s="8">
        <v>2020</v>
      </c>
      <c r="E422" s="2">
        <f>F422+G422+J422+K422</f>
        <v>216.2</v>
      </c>
      <c r="F422" s="2">
        <v>216.2</v>
      </c>
      <c r="G422" s="2">
        <f>H422+I422</f>
        <v>0</v>
      </c>
      <c r="H422" s="2"/>
      <c r="I422" s="2">
        <v>0</v>
      </c>
      <c r="J422" s="23">
        <v>0</v>
      </c>
      <c r="K422" s="23">
        <v>0</v>
      </c>
      <c r="L422" s="3" t="s">
        <v>3</v>
      </c>
      <c r="M422" s="439"/>
    </row>
    <row r="423" spans="1:13" s="77" customFormat="1" ht="24.75" customHeight="1">
      <c r="A423" s="372"/>
      <c r="B423" s="448"/>
      <c r="C423" s="448"/>
      <c r="D423" s="8">
        <v>2021</v>
      </c>
      <c r="E423" s="2">
        <f>F423+G423+J423+K423</f>
        <v>216.6</v>
      </c>
      <c r="F423" s="2">
        <v>216.6</v>
      </c>
      <c r="G423" s="2">
        <f>H423+I423</f>
        <v>0</v>
      </c>
      <c r="H423" s="2"/>
      <c r="I423" s="2">
        <v>0</v>
      </c>
      <c r="J423" s="23">
        <v>0</v>
      </c>
      <c r="K423" s="23">
        <v>0</v>
      </c>
      <c r="L423" s="3" t="s">
        <v>3</v>
      </c>
      <c r="M423" s="439"/>
    </row>
    <row r="424" spans="1:13" s="77" customFormat="1" ht="24.75" customHeight="1">
      <c r="A424" s="372"/>
      <c r="B424" s="448"/>
      <c r="C424" s="448"/>
      <c r="D424" s="8">
        <v>2022</v>
      </c>
      <c r="E424" s="2">
        <f t="shared" si="83"/>
        <v>216.6</v>
      </c>
      <c r="F424" s="2">
        <v>216.6</v>
      </c>
      <c r="G424" s="2">
        <f t="shared" si="84"/>
        <v>0</v>
      </c>
      <c r="H424" s="2"/>
      <c r="I424" s="2">
        <v>0</v>
      </c>
      <c r="J424" s="23">
        <v>0</v>
      </c>
      <c r="K424" s="23">
        <v>0</v>
      </c>
      <c r="L424" s="3" t="s">
        <v>3</v>
      </c>
      <c r="M424" s="439"/>
    </row>
    <row r="425" spans="1:13" s="77" customFormat="1" ht="24.75" customHeight="1">
      <c r="A425" s="372" t="s">
        <v>97</v>
      </c>
      <c r="B425" s="358" t="s">
        <v>148</v>
      </c>
      <c r="C425" s="358"/>
      <c r="D425" s="8">
        <v>2017</v>
      </c>
      <c r="E425" s="2">
        <f t="shared" si="83"/>
        <v>96.8</v>
      </c>
      <c r="F425" s="2">
        <v>0</v>
      </c>
      <c r="G425" s="2">
        <f t="shared" si="84"/>
        <v>96.8</v>
      </c>
      <c r="H425" s="2"/>
      <c r="I425" s="2">
        <v>96.8</v>
      </c>
      <c r="J425" s="23">
        <v>0</v>
      </c>
      <c r="K425" s="23">
        <v>0</v>
      </c>
      <c r="L425" s="3" t="s">
        <v>3</v>
      </c>
      <c r="M425" s="358" t="s">
        <v>63</v>
      </c>
    </row>
    <row r="426" spans="1:13" s="77" customFormat="1" ht="24.75" customHeight="1">
      <c r="A426" s="372"/>
      <c r="B426" s="358"/>
      <c r="C426" s="358"/>
      <c r="D426" s="8">
        <v>2018</v>
      </c>
      <c r="E426" s="2">
        <f t="shared" si="83"/>
        <v>127.3</v>
      </c>
      <c r="F426" s="2">
        <v>0</v>
      </c>
      <c r="G426" s="2">
        <f t="shared" si="84"/>
        <v>127.3</v>
      </c>
      <c r="H426" s="2"/>
      <c r="I426" s="2">
        <v>127.3</v>
      </c>
      <c r="J426" s="23">
        <v>0</v>
      </c>
      <c r="K426" s="23">
        <v>0</v>
      </c>
      <c r="L426" s="3" t="s">
        <v>3</v>
      </c>
      <c r="M426" s="358"/>
    </row>
    <row r="427" spans="1:13" s="77" customFormat="1" ht="24.75" customHeight="1">
      <c r="A427" s="372"/>
      <c r="B427" s="358"/>
      <c r="C427" s="358"/>
      <c r="D427" s="8">
        <v>2019</v>
      </c>
      <c r="E427" s="2">
        <f t="shared" si="83"/>
        <v>132.7</v>
      </c>
      <c r="F427" s="2">
        <v>0</v>
      </c>
      <c r="G427" s="2">
        <f t="shared" si="84"/>
        <v>132.7</v>
      </c>
      <c r="H427" s="2"/>
      <c r="I427" s="2">
        <v>132.7</v>
      </c>
      <c r="J427" s="23">
        <v>0</v>
      </c>
      <c r="K427" s="23">
        <v>0</v>
      </c>
      <c r="L427" s="3" t="s">
        <v>3</v>
      </c>
      <c r="M427" s="358"/>
    </row>
    <row r="428" spans="1:13" s="77" customFormat="1" ht="24.75" customHeight="1">
      <c r="A428" s="372"/>
      <c r="B428" s="358"/>
      <c r="C428" s="358"/>
      <c r="D428" s="8">
        <v>2020</v>
      </c>
      <c r="E428" s="2">
        <f>F428+G428+J428+K428</f>
        <v>134.4</v>
      </c>
      <c r="F428" s="2">
        <v>134.4</v>
      </c>
      <c r="G428" s="2">
        <f>H428+I428</f>
        <v>0</v>
      </c>
      <c r="H428" s="2"/>
      <c r="I428" s="2">
        <v>0</v>
      </c>
      <c r="J428" s="23">
        <v>0</v>
      </c>
      <c r="K428" s="23">
        <v>0</v>
      </c>
      <c r="L428" s="3" t="s">
        <v>3</v>
      </c>
      <c r="M428" s="358"/>
    </row>
    <row r="429" spans="1:13" s="77" customFormat="1" ht="24.75" customHeight="1">
      <c r="A429" s="372"/>
      <c r="B429" s="358"/>
      <c r="C429" s="358"/>
      <c r="D429" s="8">
        <v>2021</v>
      </c>
      <c r="E429" s="2">
        <f>F429+G429+J429+K429</f>
        <v>134.7</v>
      </c>
      <c r="F429" s="2">
        <v>134.7</v>
      </c>
      <c r="G429" s="2">
        <f>H429+I429</f>
        <v>0</v>
      </c>
      <c r="H429" s="2"/>
      <c r="I429" s="2">
        <v>0</v>
      </c>
      <c r="J429" s="23">
        <v>0</v>
      </c>
      <c r="K429" s="23">
        <v>0</v>
      </c>
      <c r="L429" s="3" t="s">
        <v>3</v>
      </c>
      <c r="M429" s="358"/>
    </row>
    <row r="430" spans="1:13" s="77" customFormat="1" ht="24.75" customHeight="1">
      <c r="A430" s="372"/>
      <c r="B430" s="358"/>
      <c r="C430" s="358"/>
      <c r="D430" s="8">
        <v>2022</v>
      </c>
      <c r="E430" s="2">
        <f t="shared" si="83"/>
        <v>134.7</v>
      </c>
      <c r="F430" s="2">
        <v>134.7</v>
      </c>
      <c r="G430" s="2">
        <f t="shared" si="84"/>
        <v>0</v>
      </c>
      <c r="H430" s="2"/>
      <c r="I430" s="2">
        <v>0</v>
      </c>
      <c r="J430" s="23">
        <v>0</v>
      </c>
      <c r="K430" s="23">
        <v>0</v>
      </c>
      <c r="L430" s="3" t="s">
        <v>3</v>
      </c>
      <c r="M430" s="358"/>
    </row>
    <row r="431" spans="1:13" s="77" customFormat="1" ht="24.75" customHeight="1">
      <c r="A431" s="372" t="s">
        <v>98</v>
      </c>
      <c r="B431" s="358" t="s">
        <v>149</v>
      </c>
      <c r="C431" s="358"/>
      <c r="D431" s="8">
        <v>2017</v>
      </c>
      <c r="E431" s="2">
        <f t="shared" si="83"/>
        <v>5391.1</v>
      </c>
      <c r="F431" s="2">
        <v>5391.1</v>
      </c>
      <c r="G431" s="2">
        <f t="shared" si="84"/>
        <v>0</v>
      </c>
      <c r="H431" s="2"/>
      <c r="I431" s="2">
        <v>0</v>
      </c>
      <c r="J431" s="23">
        <v>0</v>
      </c>
      <c r="K431" s="23">
        <v>0</v>
      </c>
      <c r="L431" s="3" t="s">
        <v>3</v>
      </c>
      <c r="M431" s="358" t="s">
        <v>64</v>
      </c>
    </row>
    <row r="432" spans="1:13" s="77" customFormat="1" ht="24.75" customHeight="1">
      <c r="A432" s="372"/>
      <c r="B432" s="358"/>
      <c r="C432" s="358"/>
      <c r="D432" s="8">
        <v>2018</v>
      </c>
      <c r="E432" s="2">
        <f t="shared" si="83"/>
        <v>5870.4</v>
      </c>
      <c r="F432" s="2">
        <v>5870.4</v>
      </c>
      <c r="G432" s="2">
        <f t="shared" si="84"/>
        <v>0</v>
      </c>
      <c r="H432" s="2"/>
      <c r="I432" s="2">
        <v>0</v>
      </c>
      <c r="J432" s="23">
        <v>0</v>
      </c>
      <c r="K432" s="23">
        <v>0</v>
      </c>
      <c r="L432" s="3" t="s">
        <v>3</v>
      </c>
      <c r="M432" s="358"/>
    </row>
    <row r="433" spans="1:13" s="77" customFormat="1" ht="24.75" customHeight="1">
      <c r="A433" s="372"/>
      <c r="B433" s="358"/>
      <c r="C433" s="358"/>
      <c r="D433" s="8">
        <v>2019</v>
      </c>
      <c r="E433" s="2">
        <f t="shared" si="83"/>
        <v>6295.7</v>
      </c>
      <c r="F433" s="2">
        <f>5735.3+560.4</f>
        <v>6295.7</v>
      </c>
      <c r="G433" s="2">
        <f t="shared" si="84"/>
        <v>0</v>
      </c>
      <c r="H433" s="2"/>
      <c r="I433" s="2">
        <v>0</v>
      </c>
      <c r="J433" s="23">
        <v>0</v>
      </c>
      <c r="K433" s="23">
        <v>0</v>
      </c>
      <c r="L433" s="3" t="s">
        <v>3</v>
      </c>
      <c r="M433" s="358"/>
    </row>
    <row r="434" spans="1:13" s="77" customFormat="1" ht="24.75" customHeight="1">
      <c r="A434" s="372"/>
      <c r="B434" s="358"/>
      <c r="C434" s="358"/>
      <c r="D434" s="8">
        <v>2020</v>
      </c>
      <c r="E434" s="2">
        <f>F434+G434+J434+K434</f>
        <v>6203.9</v>
      </c>
      <c r="F434" s="2">
        <v>6203.9</v>
      </c>
      <c r="G434" s="2">
        <f>H434+I434</f>
        <v>0</v>
      </c>
      <c r="H434" s="2"/>
      <c r="I434" s="2">
        <v>0</v>
      </c>
      <c r="J434" s="23">
        <v>0</v>
      </c>
      <c r="K434" s="23">
        <v>0</v>
      </c>
      <c r="L434" s="3" t="s">
        <v>3</v>
      </c>
      <c r="M434" s="358"/>
    </row>
    <row r="435" spans="1:13" s="77" customFormat="1" ht="24.75" customHeight="1">
      <c r="A435" s="296"/>
      <c r="B435" s="388"/>
      <c r="C435" s="388"/>
      <c r="D435" s="57">
        <v>2021</v>
      </c>
      <c r="E435" s="58">
        <f>F435+G435+J435+K435</f>
        <v>6216.1</v>
      </c>
      <c r="F435" s="58">
        <v>6216.1</v>
      </c>
      <c r="G435" s="58">
        <f>H435+I435</f>
        <v>0</v>
      </c>
      <c r="H435" s="58"/>
      <c r="I435" s="58">
        <v>0</v>
      </c>
      <c r="J435" s="59">
        <v>0</v>
      </c>
      <c r="K435" s="59">
        <v>0</v>
      </c>
      <c r="L435" s="60" t="s">
        <v>3</v>
      </c>
      <c r="M435" s="388"/>
    </row>
    <row r="436" spans="1:13" s="77" customFormat="1" ht="24.75" customHeight="1" thickBot="1">
      <c r="A436" s="296"/>
      <c r="B436" s="388"/>
      <c r="C436" s="388"/>
      <c r="D436" s="57">
        <v>2022</v>
      </c>
      <c r="E436" s="58">
        <f t="shared" si="83"/>
        <v>6216.1</v>
      </c>
      <c r="F436" s="58">
        <v>6216.1</v>
      </c>
      <c r="G436" s="58">
        <f t="shared" si="84"/>
        <v>0</v>
      </c>
      <c r="H436" s="58"/>
      <c r="I436" s="58">
        <v>0</v>
      </c>
      <c r="J436" s="59">
        <v>0</v>
      </c>
      <c r="K436" s="59">
        <v>0</v>
      </c>
      <c r="L436" s="60" t="s">
        <v>3</v>
      </c>
      <c r="M436" s="388"/>
    </row>
    <row r="437" spans="1:13" s="77" customFormat="1" ht="30.75" customHeight="1">
      <c r="A437" s="440"/>
      <c r="B437" s="444" t="s">
        <v>37</v>
      </c>
      <c r="C437" s="444"/>
      <c r="D437" s="61">
        <v>2017</v>
      </c>
      <c r="E437" s="62">
        <f t="shared" si="83"/>
        <v>5780.3</v>
      </c>
      <c r="F437" s="62">
        <f aca="true" t="shared" si="85" ref="F437:H439">F419+F425+F431</f>
        <v>5683.5</v>
      </c>
      <c r="G437" s="62">
        <f>H437+I437</f>
        <v>96.8</v>
      </c>
      <c r="H437" s="62">
        <f aca="true" t="shared" si="86" ref="H437:K441">H419+H425+H431</f>
        <v>0</v>
      </c>
      <c r="I437" s="62">
        <f t="shared" si="86"/>
        <v>96.8</v>
      </c>
      <c r="J437" s="62">
        <v>0</v>
      </c>
      <c r="K437" s="62">
        <v>0</v>
      </c>
      <c r="L437" s="63"/>
      <c r="M437" s="64"/>
    </row>
    <row r="438" spans="1:13" s="77" customFormat="1" ht="30.75" customHeight="1">
      <c r="A438" s="441"/>
      <c r="B438" s="445"/>
      <c r="C438" s="445"/>
      <c r="D438" s="8">
        <v>2018</v>
      </c>
      <c r="E438" s="11">
        <f>F438+G438+J438+K438</f>
        <v>6230.9</v>
      </c>
      <c r="F438" s="11">
        <f t="shared" si="85"/>
        <v>6103.599999999999</v>
      </c>
      <c r="G438" s="11">
        <f>H438+I438</f>
        <v>127.3</v>
      </c>
      <c r="H438" s="11">
        <f t="shared" si="86"/>
        <v>0</v>
      </c>
      <c r="I438" s="11">
        <f t="shared" si="86"/>
        <v>127.3</v>
      </c>
      <c r="J438" s="11">
        <v>0</v>
      </c>
      <c r="K438" s="11">
        <v>0</v>
      </c>
      <c r="L438" s="3"/>
      <c r="M438" s="65"/>
    </row>
    <row r="439" spans="1:13" s="77" customFormat="1" ht="30.75" customHeight="1">
      <c r="A439" s="441"/>
      <c r="B439" s="445"/>
      <c r="C439" s="445"/>
      <c r="D439" s="8">
        <v>2019</v>
      </c>
      <c r="E439" s="11">
        <f aca="true" t="shared" si="87" ref="E439:H441">E421+E427+E433</f>
        <v>6710.3</v>
      </c>
      <c r="F439" s="11">
        <f t="shared" si="85"/>
        <v>6577.599999999999</v>
      </c>
      <c r="G439" s="11">
        <f t="shared" si="85"/>
        <v>132.7</v>
      </c>
      <c r="H439" s="11">
        <f t="shared" si="85"/>
        <v>0</v>
      </c>
      <c r="I439" s="11">
        <f>I421+I427+I433</f>
        <v>132.7</v>
      </c>
      <c r="J439" s="11">
        <f>J421+J427+J433</f>
        <v>0</v>
      </c>
      <c r="K439" s="11">
        <f>K421+K427+K433</f>
        <v>0</v>
      </c>
      <c r="L439" s="3"/>
      <c r="M439" s="65"/>
    </row>
    <row r="440" spans="1:13" s="77" customFormat="1" ht="30.75" customHeight="1">
      <c r="A440" s="441"/>
      <c r="B440" s="445"/>
      <c r="C440" s="445"/>
      <c r="D440" s="8">
        <v>2020</v>
      </c>
      <c r="E440" s="11">
        <f t="shared" si="87"/>
        <v>6554.5</v>
      </c>
      <c r="F440" s="11">
        <f t="shared" si="87"/>
        <v>6554.5</v>
      </c>
      <c r="G440" s="11">
        <f t="shared" si="87"/>
        <v>0</v>
      </c>
      <c r="H440" s="11">
        <f t="shared" si="87"/>
        <v>0</v>
      </c>
      <c r="I440" s="11">
        <f t="shared" si="86"/>
        <v>0</v>
      </c>
      <c r="J440" s="11">
        <f t="shared" si="86"/>
        <v>0</v>
      </c>
      <c r="K440" s="11">
        <f t="shared" si="86"/>
        <v>0</v>
      </c>
      <c r="L440" s="3"/>
      <c r="M440" s="65"/>
    </row>
    <row r="441" spans="1:13" s="77" customFormat="1" ht="30.75" customHeight="1" thickBot="1">
      <c r="A441" s="442"/>
      <c r="B441" s="446"/>
      <c r="C441" s="446"/>
      <c r="D441" s="66">
        <v>2021</v>
      </c>
      <c r="E441" s="67">
        <f t="shared" si="87"/>
        <v>6567.400000000001</v>
      </c>
      <c r="F441" s="67">
        <f t="shared" si="87"/>
        <v>6567.400000000001</v>
      </c>
      <c r="G441" s="67">
        <f t="shared" si="87"/>
        <v>0</v>
      </c>
      <c r="H441" s="67">
        <f t="shared" si="87"/>
        <v>0</v>
      </c>
      <c r="I441" s="67">
        <f t="shared" si="86"/>
        <v>0</v>
      </c>
      <c r="J441" s="67">
        <f t="shared" si="86"/>
        <v>0</v>
      </c>
      <c r="K441" s="67">
        <f t="shared" si="86"/>
        <v>0</v>
      </c>
      <c r="L441" s="60"/>
      <c r="M441" s="111"/>
    </row>
    <row r="442" spans="1:13" s="77" customFormat="1" ht="30.75" customHeight="1" thickBot="1">
      <c r="A442" s="443"/>
      <c r="B442" s="447"/>
      <c r="C442" s="447"/>
      <c r="D442" s="66">
        <v>2022</v>
      </c>
      <c r="E442" s="67">
        <f aca="true" t="shared" si="88" ref="E442:K442">E424+E430+E436</f>
        <v>6567.400000000001</v>
      </c>
      <c r="F442" s="67">
        <f t="shared" si="88"/>
        <v>6567.400000000001</v>
      </c>
      <c r="G442" s="67">
        <f t="shared" si="88"/>
        <v>0</v>
      </c>
      <c r="H442" s="67">
        <f t="shared" si="88"/>
        <v>0</v>
      </c>
      <c r="I442" s="67">
        <f t="shared" si="88"/>
        <v>0</v>
      </c>
      <c r="J442" s="67">
        <f t="shared" si="88"/>
        <v>0</v>
      </c>
      <c r="K442" s="67">
        <f t="shared" si="88"/>
        <v>0</v>
      </c>
      <c r="L442" s="68"/>
      <c r="M442" s="69"/>
    </row>
    <row r="443" spans="1:13" s="77" customFormat="1" ht="30.75" customHeight="1" thickBot="1">
      <c r="A443" s="106"/>
      <c r="B443" s="373"/>
      <c r="C443" s="374"/>
      <c r="D443" s="90"/>
      <c r="E443" s="13"/>
      <c r="F443" s="13"/>
      <c r="G443" s="25"/>
      <c r="H443" s="13"/>
      <c r="I443" s="13"/>
      <c r="J443" s="13"/>
      <c r="K443" s="41"/>
      <c r="L443" s="3"/>
      <c r="M443" s="249"/>
    </row>
    <row r="444" spans="1:13" s="77" customFormat="1" ht="37.5" customHeight="1">
      <c r="A444" s="402"/>
      <c r="B444" s="493" t="s">
        <v>31</v>
      </c>
      <c r="C444" s="494"/>
      <c r="D444" s="81" t="s">
        <v>119</v>
      </c>
      <c r="E444" s="70">
        <f aca="true" t="shared" si="89" ref="E444:K444">SUM(E445:E450)</f>
        <v>1565955.09046</v>
      </c>
      <c r="F444" s="70">
        <f t="shared" si="89"/>
        <v>887220.0999999999</v>
      </c>
      <c r="G444" s="70">
        <f t="shared" si="89"/>
        <v>18707.034</v>
      </c>
      <c r="H444" s="70">
        <f t="shared" si="89"/>
        <v>8703.1</v>
      </c>
      <c r="I444" s="70">
        <f t="shared" si="89"/>
        <v>10003.934000000001</v>
      </c>
      <c r="J444" s="70">
        <f>SUM(J445:J450)</f>
        <v>660027.9564600001</v>
      </c>
      <c r="K444" s="70">
        <f t="shared" si="89"/>
        <v>0</v>
      </c>
      <c r="L444" s="91"/>
      <c r="M444" s="80"/>
    </row>
    <row r="445" spans="1:13" s="77" customFormat="1" ht="33" customHeight="1">
      <c r="A445" s="402"/>
      <c r="B445" s="495"/>
      <c r="C445" s="496"/>
      <c r="D445" s="8">
        <v>2017</v>
      </c>
      <c r="E445" s="11">
        <f>F445+G445+J445+K445</f>
        <v>259771.653</v>
      </c>
      <c r="F445" s="11">
        <f aca="true" t="shared" si="90" ref="F445:K445">F218+F327+F401+F410+F437</f>
        <v>130298.7</v>
      </c>
      <c r="G445" s="11">
        <f t="shared" si="90"/>
        <v>1029</v>
      </c>
      <c r="H445" s="11">
        <f t="shared" si="90"/>
        <v>0</v>
      </c>
      <c r="I445" s="11">
        <f t="shared" si="90"/>
        <v>1029</v>
      </c>
      <c r="J445" s="11">
        <f t="shared" si="90"/>
        <v>128443.953</v>
      </c>
      <c r="K445" s="11">
        <f t="shared" si="90"/>
        <v>0</v>
      </c>
      <c r="L445" s="50"/>
      <c r="M445" s="24"/>
    </row>
    <row r="446" spans="1:13" s="77" customFormat="1" ht="30.75" customHeight="1">
      <c r="A446" s="402"/>
      <c r="B446" s="495"/>
      <c r="C446" s="496"/>
      <c r="D446" s="8">
        <v>2018</v>
      </c>
      <c r="E446" s="11">
        <f>F446+G446+J446+K446</f>
        <v>256780.11129000003</v>
      </c>
      <c r="F446" s="11">
        <f aca="true" t="shared" si="91" ref="F446:H448">F219+F328+F402+F411+F438</f>
        <v>143448.1</v>
      </c>
      <c r="G446" s="11">
        <f t="shared" si="91"/>
        <v>1296.482</v>
      </c>
      <c r="H446" s="11">
        <f t="shared" si="91"/>
        <v>0</v>
      </c>
      <c r="I446" s="11">
        <f>I438+I411+I402+I328+I219</f>
        <v>1296.4820000000002</v>
      </c>
      <c r="J446" s="11">
        <f>J438+J411+J402+J328+J219</f>
        <v>112035.52929000002</v>
      </c>
      <c r="K446" s="11">
        <f>K219+K328+K402+K411+K438</f>
        <v>0</v>
      </c>
      <c r="L446" s="50"/>
      <c r="M446" s="24"/>
    </row>
    <row r="447" spans="1:13" s="77" customFormat="1" ht="30.75" customHeight="1">
      <c r="A447" s="402"/>
      <c r="B447" s="495"/>
      <c r="C447" s="496"/>
      <c r="D447" s="8">
        <v>2019</v>
      </c>
      <c r="E447" s="253">
        <f>E220+E329+E403+E412+E439</f>
        <v>274699.70717</v>
      </c>
      <c r="F447" s="11">
        <f t="shared" si="91"/>
        <v>157111.4</v>
      </c>
      <c r="G447" s="11">
        <f t="shared" si="91"/>
        <v>3375.852</v>
      </c>
      <c r="H447" s="11">
        <f t="shared" si="91"/>
        <v>0</v>
      </c>
      <c r="I447" s="11">
        <f aca="true" t="shared" si="92" ref="I447:J450">I220+I329+I403+I412+I439</f>
        <v>3375.852</v>
      </c>
      <c r="J447" s="253">
        <f t="shared" si="92"/>
        <v>114212.45517000003</v>
      </c>
      <c r="K447" s="11">
        <f>K220+K329+K403+K412+K439</f>
        <v>0</v>
      </c>
      <c r="L447" s="50"/>
      <c r="M447" s="24"/>
    </row>
    <row r="448" spans="1:13" s="77" customFormat="1" ht="30.75" customHeight="1">
      <c r="A448" s="402"/>
      <c r="B448" s="495"/>
      <c r="C448" s="496"/>
      <c r="D448" s="8">
        <v>2020</v>
      </c>
      <c r="E448" s="11">
        <f>E221+E330+E404+E413+E440</f>
        <v>261105.328</v>
      </c>
      <c r="F448" s="11">
        <f t="shared" si="91"/>
        <v>156161.5</v>
      </c>
      <c r="G448" s="11">
        <f t="shared" si="91"/>
        <v>2551.2</v>
      </c>
      <c r="H448" s="11">
        <f t="shared" si="91"/>
        <v>1117</v>
      </c>
      <c r="I448" s="11">
        <f t="shared" si="92"/>
        <v>1434.2</v>
      </c>
      <c r="J448" s="11">
        <f t="shared" si="92"/>
        <v>102392.628</v>
      </c>
      <c r="K448" s="11">
        <f>K221+K330+K404+K413+K440</f>
        <v>0</v>
      </c>
      <c r="L448" s="50"/>
      <c r="M448" s="24"/>
    </row>
    <row r="449" spans="1:13" s="77" customFormat="1" ht="30.75" customHeight="1">
      <c r="A449" s="402"/>
      <c r="B449" s="495"/>
      <c r="C449" s="496"/>
      <c r="D449" s="8">
        <v>2021</v>
      </c>
      <c r="E449" s="11">
        <f>F449+G449+J449+K449</f>
        <v>261043.19899999996</v>
      </c>
      <c r="F449" s="11">
        <f>F222+F331+F405+F414+F441</f>
        <v>150100.19999999998</v>
      </c>
      <c r="G449" s="11">
        <f>H449+I449</f>
        <v>8070.3</v>
      </c>
      <c r="H449" s="11">
        <f>H222+H331+H405+H414+H441</f>
        <v>6636.1</v>
      </c>
      <c r="I449" s="11">
        <f t="shared" si="92"/>
        <v>1434.2</v>
      </c>
      <c r="J449" s="11">
        <f t="shared" si="92"/>
        <v>102872.699</v>
      </c>
      <c r="K449" s="11">
        <f>K222+K331+K405+K414+K441</f>
        <v>0</v>
      </c>
      <c r="L449" s="50"/>
      <c r="M449" s="24"/>
    </row>
    <row r="450" spans="1:13" s="77" customFormat="1" ht="27" customHeight="1">
      <c r="A450" s="402"/>
      <c r="B450" s="497"/>
      <c r="C450" s="498"/>
      <c r="D450" s="8">
        <v>2022</v>
      </c>
      <c r="E450" s="11">
        <f>F450+G450+J450+K450</f>
        <v>252555.092</v>
      </c>
      <c r="F450" s="11">
        <f>F223+F332+F406+F415+F442</f>
        <v>150100.19999999998</v>
      </c>
      <c r="G450" s="11">
        <f>H450+I450</f>
        <v>2384.2</v>
      </c>
      <c r="H450" s="11">
        <f>H223+H332+H406+H415+H442</f>
        <v>950</v>
      </c>
      <c r="I450" s="11">
        <f t="shared" si="92"/>
        <v>1434.2</v>
      </c>
      <c r="J450" s="11">
        <f t="shared" si="92"/>
        <v>100070.692</v>
      </c>
      <c r="K450" s="11">
        <f>K223+K332+K406+K415+K442</f>
        <v>0</v>
      </c>
      <c r="L450" s="50"/>
      <c r="M450" s="24"/>
    </row>
    <row r="451" spans="2:11" ht="25.5" customHeight="1" hidden="1">
      <c r="B451" s="415"/>
      <c r="C451" s="416"/>
      <c r="D451" s="232"/>
      <c r="E451" s="233"/>
      <c r="F451" s="234"/>
      <c r="G451" s="234"/>
      <c r="H451" s="78"/>
      <c r="I451" s="79"/>
      <c r="J451" s="78"/>
      <c r="K451" s="78"/>
    </row>
    <row r="452" spans="2:11" ht="25.5" customHeight="1" hidden="1">
      <c r="B452" s="417"/>
      <c r="C452" s="418"/>
      <c r="D452" s="232"/>
      <c r="E452" s="233"/>
      <c r="F452" s="235"/>
      <c r="G452" s="235"/>
      <c r="H452" s="79"/>
      <c r="I452" s="236"/>
      <c r="J452" s="79" t="s">
        <v>17</v>
      </c>
      <c r="K452" s="79"/>
    </row>
    <row r="453" spans="2:11" ht="15.75" customHeight="1" hidden="1">
      <c r="B453" s="417"/>
      <c r="C453" s="418"/>
      <c r="D453" s="232"/>
      <c r="E453" s="233"/>
      <c r="F453" s="235"/>
      <c r="G453" s="235"/>
      <c r="H453" s="79"/>
      <c r="I453" s="79"/>
      <c r="J453" s="79"/>
      <c r="K453" s="79"/>
    </row>
    <row r="454" spans="2:11" ht="24.75" customHeight="1" hidden="1">
      <c r="B454" s="417"/>
      <c r="C454" s="418"/>
      <c r="D454" s="232"/>
      <c r="E454" s="233"/>
      <c r="F454" s="235"/>
      <c r="G454" s="235"/>
      <c r="H454" s="79"/>
      <c r="I454" s="237"/>
      <c r="J454" s="79" t="s">
        <v>18</v>
      </c>
      <c r="K454" s="79"/>
    </row>
    <row r="455" spans="2:11" ht="13.5" customHeight="1" hidden="1">
      <c r="B455" s="419"/>
      <c r="C455" s="420"/>
      <c r="D455" s="232"/>
      <c r="E455" s="233"/>
      <c r="F455" s="235"/>
      <c r="G455" s="235"/>
      <c r="H455" s="79"/>
      <c r="I455" s="79"/>
      <c r="J455" s="79"/>
      <c r="K455" s="79"/>
    </row>
    <row r="456" spans="4:11" ht="27.75" customHeight="1" hidden="1">
      <c r="D456" s="232"/>
      <c r="E456" s="233"/>
      <c r="F456" s="235"/>
      <c r="G456" s="235"/>
      <c r="H456" s="79"/>
      <c r="I456" s="79"/>
      <c r="J456" s="79" t="s">
        <v>19</v>
      </c>
      <c r="K456" s="79"/>
    </row>
    <row r="457" spans="2:11" ht="18.75" customHeight="1" hidden="1">
      <c r="B457" s="85"/>
      <c r="C457" s="238"/>
      <c r="D457" s="232"/>
      <c r="E457" s="233"/>
      <c r="F457" s="235"/>
      <c r="G457" s="235"/>
      <c r="H457" s="79"/>
      <c r="I457" s="79"/>
      <c r="J457" s="79"/>
      <c r="K457" s="79"/>
    </row>
    <row r="458" spans="2:11" ht="18.75" customHeight="1" hidden="1">
      <c r="B458" s="79"/>
      <c r="C458" s="232"/>
      <c r="D458" s="232"/>
      <c r="E458" s="233"/>
      <c r="F458" s="235"/>
      <c r="G458" s="235"/>
      <c r="H458" s="79"/>
      <c r="I458" s="79"/>
      <c r="J458" s="79"/>
      <c r="K458" s="79"/>
    </row>
    <row r="459" spans="2:11" ht="27" customHeight="1" hidden="1">
      <c r="B459" s="79"/>
      <c r="C459" s="232"/>
      <c r="D459" s="232"/>
      <c r="E459" s="233"/>
      <c r="F459" s="235"/>
      <c r="G459" s="235"/>
      <c r="H459" s="79"/>
      <c r="I459" s="79"/>
      <c r="J459" s="79" t="s">
        <v>20</v>
      </c>
      <c r="K459" s="79"/>
    </row>
    <row r="460" spans="2:8" ht="22.5" hidden="1">
      <c r="B460" s="79"/>
      <c r="C460" s="232"/>
      <c r="D460" s="232"/>
      <c r="E460" s="233"/>
      <c r="F460" s="239"/>
      <c r="G460" s="239"/>
      <c r="H460" s="85"/>
    </row>
    <row r="461" spans="2:5" ht="18" customHeight="1" hidden="1">
      <c r="B461" s="79"/>
      <c r="C461" s="232"/>
      <c r="D461" s="240"/>
      <c r="E461" s="233"/>
    </row>
    <row r="462" spans="2:5" ht="22.5" hidden="1">
      <c r="B462" s="79"/>
      <c r="C462" s="232"/>
      <c r="E462" s="233"/>
    </row>
    <row r="463" spans="2:9" ht="21" customHeight="1">
      <c r="B463" s="79"/>
      <c r="C463" s="232"/>
      <c r="E463" s="241"/>
      <c r="F463" s="242"/>
      <c r="G463" s="242"/>
      <c r="I463" s="243"/>
    </row>
    <row r="464" spans="2:9" ht="21" customHeight="1">
      <c r="B464" s="79"/>
      <c r="C464" s="232"/>
      <c r="D464" s="238"/>
      <c r="E464" s="241"/>
      <c r="F464" s="244"/>
      <c r="G464" s="244"/>
      <c r="I464" s="245"/>
    </row>
    <row r="465" spans="2:7" ht="21" customHeight="1">
      <c r="B465" s="79"/>
      <c r="C465" s="232"/>
      <c r="D465" s="246"/>
      <c r="E465" s="238"/>
      <c r="F465" s="247"/>
      <c r="G465" s="247"/>
    </row>
    <row r="466" spans="2:3" ht="18.75" customHeight="1">
      <c r="B466" s="79"/>
      <c r="C466" s="240"/>
    </row>
    <row r="467" ht="22.5" customHeight="1">
      <c r="D467" s="248"/>
    </row>
    <row r="468" ht="18">
      <c r="B468" s="85"/>
    </row>
  </sheetData>
  <sheetProtection/>
  <mergeCells count="245">
    <mergeCell ref="A11:M11"/>
    <mergeCell ref="B59:B62"/>
    <mergeCell ref="A17:A22"/>
    <mergeCell ref="B17:B22"/>
    <mergeCell ref="A53:M53"/>
    <mergeCell ref="A54:M54"/>
    <mergeCell ref="A55:M55"/>
    <mergeCell ref="A56:M56"/>
    <mergeCell ref="K2:M2"/>
    <mergeCell ref="G102:G103"/>
    <mergeCell ref="B96:C101"/>
    <mergeCell ref="D130:D137"/>
    <mergeCell ref="M109:M114"/>
    <mergeCell ref="A67:M67"/>
    <mergeCell ref="M115:M184"/>
    <mergeCell ref="A23:A24"/>
    <mergeCell ref="A57:A58"/>
    <mergeCell ref="A43:A45"/>
    <mergeCell ref="M193:M198"/>
    <mergeCell ref="B109:C114"/>
    <mergeCell ref="A224:M224"/>
    <mergeCell ref="D90:D91"/>
    <mergeCell ref="D115:D121"/>
    <mergeCell ref="D169:D176"/>
    <mergeCell ref="E169:E176"/>
    <mergeCell ref="K102:K103"/>
    <mergeCell ref="E154:E161"/>
    <mergeCell ref="A193:A198"/>
    <mergeCell ref="A218:A223"/>
    <mergeCell ref="B265:B266"/>
    <mergeCell ref="B203:C203"/>
    <mergeCell ref="B43:B45"/>
    <mergeCell ref="B102:C108"/>
    <mergeCell ref="B57:B58"/>
    <mergeCell ref="I102:I103"/>
    <mergeCell ref="E122:E129"/>
    <mergeCell ref="E138:E145"/>
    <mergeCell ref="D102:D103"/>
    <mergeCell ref="D272:D273"/>
    <mergeCell ref="E146:E153"/>
    <mergeCell ref="D122:D129"/>
    <mergeCell ref="A444:A450"/>
    <mergeCell ref="B202:C202"/>
    <mergeCell ref="D162:D168"/>
    <mergeCell ref="D138:D145"/>
    <mergeCell ref="D146:D153"/>
    <mergeCell ref="F102:F103"/>
    <mergeCell ref="B218:C223"/>
    <mergeCell ref="B263:B264"/>
    <mergeCell ref="A276:A278"/>
    <mergeCell ref="A327:A332"/>
    <mergeCell ref="M228:M278"/>
    <mergeCell ref="D154:D161"/>
    <mergeCell ref="B444:C450"/>
    <mergeCell ref="D185:D192"/>
    <mergeCell ref="E185:E192"/>
    <mergeCell ref="A335:K335"/>
    <mergeCell ref="A297:A298"/>
    <mergeCell ref="M297:M298"/>
    <mergeCell ref="M287:M292"/>
    <mergeCell ref="A279:A292"/>
    <mergeCell ref="H8:I8"/>
    <mergeCell ref="A5:A9"/>
    <mergeCell ref="M96:M101"/>
    <mergeCell ref="L102:L103"/>
    <mergeCell ref="E115:E121"/>
    <mergeCell ref="M102:M108"/>
    <mergeCell ref="E102:E103"/>
    <mergeCell ref="A41:M41"/>
    <mergeCell ref="A42:M42"/>
    <mergeCell ref="J102:J103"/>
    <mergeCell ref="M74:M79"/>
    <mergeCell ref="A68:A73"/>
    <mergeCell ref="B5:C9"/>
    <mergeCell ref="B10:C10"/>
    <mergeCell ref="B74:C79"/>
    <mergeCell ref="A74:A79"/>
    <mergeCell ref="G8:G9"/>
    <mergeCell ref="G7:I7"/>
    <mergeCell ref="G6:J6"/>
    <mergeCell ref="J7:J9"/>
    <mergeCell ref="A66:M66"/>
    <mergeCell ref="L68:L69"/>
    <mergeCell ref="J68:J69"/>
    <mergeCell ref="H68:H69"/>
    <mergeCell ref="K68:K69"/>
    <mergeCell ref="E68:E69"/>
    <mergeCell ref="F68:F69"/>
    <mergeCell ref="G68:G69"/>
    <mergeCell ref="D68:D69"/>
    <mergeCell ref="M68:M73"/>
    <mergeCell ref="D274:D275"/>
    <mergeCell ref="F5:J5"/>
    <mergeCell ref="B401:C406"/>
    <mergeCell ref="A333:M333"/>
    <mergeCell ref="M218:M223"/>
    <mergeCell ref="M5:M9"/>
    <mergeCell ref="K5:K9"/>
    <mergeCell ref="D276:D278"/>
    <mergeCell ref="A65:M65"/>
    <mergeCell ref="A83:A88"/>
    <mergeCell ref="B83:C88"/>
    <mergeCell ref="B274:B275"/>
    <mergeCell ref="A225:M225"/>
    <mergeCell ref="A89:A95"/>
    <mergeCell ref="L90:L91"/>
    <mergeCell ref="J90:J91"/>
    <mergeCell ref="A212:A213"/>
    <mergeCell ref="B214:C217"/>
    <mergeCell ref="A228:A271"/>
    <mergeCell ref="B327:C332"/>
    <mergeCell ref="B325:C325"/>
    <mergeCell ref="B315:B320"/>
    <mergeCell ref="A315:A320"/>
    <mergeCell ref="M336:M400"/>
    <mergeCell ref="B293:B296"/>
    <mergeCell ref="D361:D370"/>
    <mergeCell ref="B336:C345"/>
    <mergeCell ref="A334:M334"/>
    <mergeCell ref="M306:M307"/>
    <mergeCell ref="M425:M430"/>
    <mergeCell ref="M419:M424"/>
    <mergeCell ref="A437:A442"/>
    <mergeCell ref="B437:C442"/>
    <mergeCell ref="A272:A273"/>
    <mergeCell ref="A274:A275"/>
    <mergeCell ref="A301:A303"/>
    <mergeCell ref="B419:C424"/>
    <mergeCell ref="B425:C430"/>
    <mergeCell ref="A293:A296"/>
    <mergeCell ref="E90:E91"/>
    <mergeCell ref="F90:F91"/>
    <mergeCell ref="I90:I91"/>
    <mergeCell ref="K90:K91"/>
    <mergeCell ref="G90:G91"/>
    <mergeCell ref="A96:A101"/>
    <mergeCell ref="A162:A192"/>
    <mergeCell ref="B272:B273"/>
    <mergeCell ref="B89:C95"/>
    <mergeCell ref="I68:I69"/>
    <mergeCell ref="M89:M92"/>
    <mergeCell ref="H90:H91"/>
    <mergeCell ref="M83:M88"/>
    <mergeCell ref="L231:L236"/>
    <mergeCell ref="L276:L277"/>
    <mergeCell ref="A226:M226"/>
    <mergeCell ref="E130:E137"/>
    <mergeCell ref="A227:M227"/>
    <mergeCell ref="B228:B260"/>
    <mergeCell ref="B451:C455"/>
    <mergeCell ref="E162:E168"/>
    <mergeCell ref="B193:C198"/>
    <mergeCell ref="B200:C200"/>
    <mergeCell ref="A409:M409"/>
    <mergeCell ref="B305:C305"/>
    <mergeCell ref="A408:L408"/>
    <mergeCell ref="A407:M407"/>
    <mergeCell ref="M300:M301"/>
    <mergeCell ref="A431:A436"/>
    <mergeCell ref="B3:L3"/>
    <mergeCell ref="D5:D9"/>
    <mergeCell ref="E5:E9"/>
    <mergeCell ref="L5:L9"/>
    <mergeCell ref="A336:A345"/>
    <mergeCell ref="B268:B271"/>
    <mergeCell ref="B201:C201"/>
    <mergeCell ref="F6:F9"/>
    <mergeCell ref="H102:H103"/>
    <mergeCell ref="B68:C73"/>
    <mergeCell ref="D355:D360"/>
    <mergeCell ref="D347:D354"/>
    <mergeCell ref="A401:A406"/>
    <mergeCell ref="A347:A400"/>
    <mergeCell ref="B410:C415"/>
    <mergeCell ref="A419:A424"/>
    <mergeCell ref="A410:A415"/>
    <mergeCell ref="M431:M436"/>
    <mergeCell ref="A416:M416"/>
    <mergeCell ref="A417:M417"/>
    <mergeCell ref="A418:M418"/>
    <mergeCell ref="D391:D400"/>
    <mergeCell ref="D371:D380"/>
    <mergeCell ref="B347:C400"/>
    <mergeCell ref="B431:C436"/>
    <mergeCell ref="A425:A430"/>
    <mergeCell ref="B443:C443"/>
    <mergeCell ref="K1:M1"/>
    <mergeCell ref="B306:C306"/>
    <mergeCell ref="B307:C307"/>
    <mergeCell ref="E177:E184"/>
    <mergeCell ref="D177:D184"/>
    <mergeCell ref="M410:M415"/>
    <mergeCell ref="B261:B262"/>
    <mergeCell ref="B205:C205"/>
    <mergeCell ref="B162:C192"/>
    <mergeCell ref="A80:A81"/>
    <mergeCell ref="B82:C82"/>
    <mergeCell ref="B199:C199"/>
    <mergeCell ref="B308:C310"/>
    <mergeCell ref="A308:A310"/>
    <mergeCell ref="B311:B314"/>
    <mergeCell ref="A311:A314"/>
    <mergeCell ref="B279:B292"/>
    <mergeCell ref="A102:A108"/>
    <mergeCell ref="A109:A114"/>
    <mergeCell ref="M279:M286"/>
    <mergeCell ref="A206:A211"/>
    <mergeCell ref="B212:C213"/>
    <mergeCell ref="B206:C211"/>
    <mergeCell ref="A214:A217"/>
    <mergeCell ref="B204:C204"/>
    <mergeCell ref="M214:M217"/>
    <mergeCell ref="M212:M213"/>
    <mergeCell ref="M206:M211"/>
    <mergeCell ref="B276:B278"/>
    <mergeCell ref="A64:M64"/>
    <mergeCell ref="A13:M13"/>
    <mergeCell ref="A12:M12"/>
    <mergeCell ref="A14:M14"/>
    <mergeCell ref="A15:M15"/>
    <mergeCell ref="A16:M16"/>
    <mergeCell ref="B23:B24"/>
    <mergeCell ref="A33:M33"/>
    <mergeCell ref="A25:M25"/>
    <mergeCell ref="A26:M26"/>
    <mergeCell ref="M37:M38"/>
    <mergeCell ref="A27:M27"/>
    <mergeCell ref="A28:M28"/>
    <mergeCell ref="B29:B32"/>
    <mergeCell ref="A29:A32"/>
    <mergeCell ref="A34:M34"/>
    <mergeCell ref="A35:M35"/>
    <mergeCell ref="M29:M32"/>
    <mergeCell ref="M17:M24"/>
    <mergeCell ref="A36:M36"/>
    <mergeCell ref="A37:A38"/>
    <mergeCell ref="B37:B38"/>
    <mergeCell ref="B115:C161"/>
    <mergeCell ref="B80:C81"/>
    <mergeCell ref="A115:A161"/>
    <mergeCell ref="A39:M39"/>
    <mergeCell ref="A40:M40"/>
    <mergeCell ref="M43:M52"/>
  </mergeCells>
  <printOptions/>
  <pageMargins left="0.37" right="0.2755905511811024" top="0.7480314960629921" bottom="0.15748031496062992" header="0.15748031496062992" footer="0.15748031496062992"/>
  <pageSetup horizontalDpi="600" verticalDpi="600" orientation="landscape" paperSize="9" scale="36" r:id="rId1"/>
  <rowBreaks count="4" manualBreakCount="4">
    <brk id="198" max="12" man="1"/>
    <brk id="223" max="12" man="1"/>
    <brk id="385" max="12" man="1"/>
    <brk id="4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7"/>
  <sheetViews>
    <sheetView tabSelected="1" view="pageBreakPreview" zoomScale="50" zoomScaleNormal="50" zoomScaleSheetLayoutView="50" zoomScalePageLayoutView="50" workbookViewId="0" topLeftCell="A1">
      <selection activeCell="A195" sqref="A195:M195"/>
    </sheetView>
  </sheetViews>
  <sheetFormatPr defaultColWidth="9.125" defaultRowHeight="12.75"/>
  <cols>
    <col min="1" max="1" width="8.75390625" style="55" customWidth="1"/>
    <col min="2" max="2" width="38.50390625" style="77" customWidth="1"/>
    <col min="3" max="3" width="15.375" style="77" customWidth="1"/>
    <col min="4" max="4" width="16.00390625" style="77" customWidth="1"/>
    <col min="5" max="5" width="24.625" style="77" customWidth="1"/>
    <col min="6" max="6" width="23.625" style="77" customWidth="1"/>
    <col min="7" max="7" width="26.50390625" style="77" customWidth="1"/>
    <col min="8" max="8" width="21.125" style="77" customWidth="1"/>
    <col min="9" max="9" width="24.50390625" style="77" customWidth="1"/>
    <col min="10" max="10" width="25.50390625" style="77" customWidth="1"/>
    <col min="11" max="11" width="16.50390625" style="77" customWidth="1"/>
    <col min="12" max="12" width="32.00390625" style="85" customWidth="1"/>
    <col min="13" max="13" width="57.25390625" style="84" customWidth="1"/>
    <col min="14" max="14" width="30.875" style="51" customWidth="1"/>
    <col min="15" max="16384" width="9.125" style="51" customWidth="1"/>
  </cols>
  <sheetData>
    <row r="1" spans="11:13" ht="33.75" customHeight="1">
      <c r="K1" s="375" t="s">
        <v>163</v>
      </c>
      <c r="L1" s="375"/>
      <c r="M1" s="375"/>
    </row>
    <row r="2" spans="11:13" ht="30.75" customHeight="1">
      <c r="K2" s="375" t="s">
        <v>164</v>
      </c>
      <c r="L2" s="375"/>
      <c r="M2" s="375"/>
    </row>
    <row r="3" spans="1:13" s="77" customFormat="1" ht="19.5" customHeight="1">
      <c r="A3" s="83"/>
      <c r="B3" s="409" t="s">
        <v>71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84"/>
    </row>
    <row r="4" spans="1:13" s="77" customFormat="1" ht="18">
      <c r="A4" s="83"/>
      <c r="J4" s="77" t="s">
        <v>16</v>
      </c>
      <c r="L4" s="85"/>
      <c r="M4" s="84"/>
    </row>
    <row r="5" spans="1:13" s="77" customFormat="1" ht="28.5" customHeight="1">
      <c r="A5" s="487"/>
      <c r="B5" s="410" t="s">
        <v>8</v>
      </c>
      <c r="C5" s="410"/>
      <c r="D5" s="410" t="s">
        <v>9</v>
      </c>
      <c r="E5" s="410" t="s">
        <v>0</v>
      </c>
      <c r="F5" s="410" t="s">
        <v>13</v>
      </c>
      <c r="G5" s="410"/>
      <c r="H5" s="410"/>
      <c r="I5" s="410"/>
      <c r="J5" s="410"/>
      <c r="K5" s="410" t="s">
        <v>14</v>
      </c>
      <c r="L5" s="410" t="s">
        <v>1</v>
      </c>
      <c r="M5" s="477" t="s">
        <v>242</v>
      </c>
    </row>
    <row r="6" spans="1:13" s="77" customFormat="1" ht="28.5" customHeight="1">
      <c r="A6" s="487"/>
      <c r="B6" s="410"/>
      <c r="C6" s="410"/>
      <c r="D6" s="410"/>
      <c r="E6" s="410"/>
      <c r="F6" s="410" t="s">
        <v>11</v>
      </c>
      <c r="G6" s="410" t="s">
        <v>100</v>
      </c>
      <c r="H6" s="410"/>
      <c r="I6" s="410"/>
      <c r="J6" s="410"/>
      <c r="K6" s="410"/>
      <c r="L6" s="410"/>
      <c r="M6" s="478"/>
    </row>
    <row r="7" spans="1:13" s="77" customFormat="1" ht="28.5" customHeight="1">
      <c r="A7" s="487"/>
      <c r="B7" s="410"/>
      <c r="C7" s="410"/>
      <c r="D7" s="410"/>
      <c r="E7" s="410"/>
      <c r="F7" s="410"/>
      <c r="G7" s="410" t="s">
        <v>103</v>
      </c>
      <c r="H7" s="410"/>
      <c r="I7" s="410"/>
      <c r="J7" s="410" t="s">
        <v>99</v>
      </c>
      <c r="K7" s="410"/>
      <c r="L7" s="410"/>
      <c r="M7" s="478"/>
    </row>
    <row r="8" spans="1:13" s="77" customFormat="1" ht="28.5" customHeight="1">
      <c r="A8" s="487"/>
      <c r="B8" s="410"/>
      <c r="C8" s="410"/>
      <c r="D8" s="410"/>
      <c r="E8" s="410"/>
      <c r="F8" s="410"/>
      <c r="G8" s="410" t="s">
        <v>101</v>
      </c>
      <c r="H8" s="410" t="s">
        <v>102</v>
      </c>
      <c r="I8" s="410"/>
      <c r="J8" s="410"/>
      <c r="K8" s="410"/>
      <c r="L8" s="410"/>
      <c r="M8" s="478"/>
    </row>
    <row r="9" spans="1:13" s="77" customFormat="1" ht="73.5" customHeight="1">
      <c r="A9" s="487"/>
      <c r="B9" s="410"/>
      <c r="C9" s="410"/>
      <c r="D9" s="410"/>
      <c r="E9" s="410"/>
      <c r="F9" s="410"/>
      <c r="G9" s="410"/>
      <c r="H9" s="4" t="s">
        <v>104</v>
      </c>
      <c r="I9" s="4" t="s">
        <v>105</v>
      </c>
      <c r="J9" s="410"/>
      <c r="K9" s="410"/>
      <c r="L9" s="410"/>
      <c r="M9" s="479"/>
    </row>
    <row r="10" spans="1:13" s="87" customFormat="1" ht="21">
      <c r="A10" s="86">
        <v>1</v>
      </c>
      <c r="B10" s="379">
        <v>2</v>
      </c>
      <c r="C10" s="379"/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39">
        <v>12</v>
      </c>
    </row>
    <row r="11" spans="1:13" s="272" customFormat="1" ht="24" customHeight="1">
      <c r="A11" s="525" t="s">
        <v>29</v>
      </c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7"/>
    </row>
    <row r="12" spans="1:13" s="85" customFormat="1" ht="51" customHeight="1">
      <c r="A12" s="327" t="s">
        <v>287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</row>
    <row r="13" spans="1:13" s="87" customFormat="1" ht="95.25" customHeight="1">
      <c r="A13" s="529" t="s">
        <v>295</v>
      </c>
      <c r="B13" s="530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1"/>
    </row>
    <row r="14" spans="1:13" s="87" customFormat="1" ht="21" thickBot="1">
      <c r="A14" s="279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1"/>
    </row>
    <row r="15" spans="1:13" s="87" customFormat="1" ht="70.5" customHeight="1" thickBot="1">
      <c r="A15" s="282" t="s">
        <v>247</v>
      </c>
      <c r="B15" s="284" t="s">
        <v>289</v>
      </c>
      <c r="C15" s="204" t="s">
        <v>101</v>
      </c>
      <c r="D15" s="204">
        <v>2020</v>
      </c>
      <c r="E15" s="187">
        <f aca="true" t="shared" si="0" ref="E15:J15">E17+E18+E21+E22</f>
        <v>1128.3</v>
      </c>
      <c r="F15" s="187">
        <f t="shared" si="0"/>
        <v>0</v>
      </c>
      <c r="G15" s="187">
        <f t="shared" si="0"/>
        <v>1117</v>
      </c>
      <c r="H15" s="187">
        <f t="shared" si="0"/>
        <v>1117</v>
      </c>
      <c r="I15" s="187">
        <f t="shared" si="0"/>
        <v>0</v>
      </c>
      <c r="J15" s="187">
        <f t="shared" si="0"/>
        <v>11.299999999999997</v>
      </c>
      <c r="K15" s="187">
        <f>K17+K18+K21+K22</f>
        <v>0</v>
      </c>
      <c r="L15" s="204" t="s">
        <v>46</v>
      </c>
      <c r="M15" s="276" t="s">
        <v>285</v>
      </c>
    </row>
    <row r="16" spans="1:13" s="87" customFormat="1" ht="70.5" customHeight="1" thickBot="1">
      <c r="A16" s="317"/>
      <c r="B16" s="528"/>
      <c r="C16" s="204" t="s">
        <v>282</v>
      </c>
      <c r="D16" s="204">
        <v>2021</v>
      </c>
      <c r="E16" s="187">
        <f aca="true" t="shared" si="1" ref="E16:J16">E19+E20</f>
        <v>1138.3000000000002</v>
      </c>
      <c r="F16" s="187">
        <f t="shared" si="1"/>
        <v>0</v>
      </c>
      <c r="G16" s="187">
        <f t="shared" si="1"/>
        <v>1126.9</v>
      </c>
      <c r="H16" s="187">
        <f t="shared" si="1"/>
        <v>1126.9</v>
      </c>
      <c r="I16" s="187">
        <f t="shared" si="1"/>
        <v>0</v>
      </c>
      <c r="J16" s="187">
        <f t="shared" si="1"/>
        <v>11.4</v>
      </c>
      <c r="K16" s="187">
        <f>K19+K20</f>
        <v>0</v>
      </c>
      <c r="L16" s="204"/>
      <c r="M16" s="277"/>
    </row>
    <row r="17" spans="1:13" s="87" customFormat="1" ht="57" customHeight="1">
      <c r="A17" s="317"/>
      <c r="B17" s="528"/>
      <c r="C17" s="181" t="s">
        <v>46</v>
      </c>
      <c r="D17" s="181">
        <v>2020</v>
      </c>
      <c r="E17" s="186">
        <f aca="true" t="shared" si="2" ref="E17:E22">F17+G17+J17+K17</f>
        <v>0</v>
      </c>
      <c r="F17" s="187"/>
      <c r="G17" s="186">
        <f aca="true" t="shared" si="3" ref="G17:G22">H17+I17</f>
        <v>0</v>
      </c>
      <c r="H17" s="186">
        <f>557-557</f>
        <v>0</v>
      </c>
      <c r="I17" s="186">
        <v>0</v>
      </c>
      <c r="J17" s="186">
        <f>83.33-83.33</f>
        <v>0</v>
      </c>
      <c r="K17" s="256">
        <v>0</v>
      </c>
      <c r="L17" s="181" t="s">
        <v>46</v>
      </c>
      <c r="M17" s="277"/>
    </row>
    <row r="18" spans="1:13" s="87" customFormat="1" ht="52.5" customHeight="1" thickBot="1">
      <c r="A18" s="317"/>
      <c r="B18" s="528"/>
      <c r="C18" s="183" t="s">
        <v>47</v>
      </c>
      <c r="D18" s="183">
        <v>2020</v>
      </c>
      <c r="E18" s="27">
        <f t="shared" si="2"/>
        <v>1128.3</v>
      </c>
      <c r="F18" s="25"/>
      <c r="G18" s="27">
        <f t="shared" si="3"/>
        <v>1117</v>
      </c>
      <c r="H18" s="27">
        <f>560+557</f>
        <v>1117</v>
      </c>
      <c r="I18" s="27">
        <v>0</v>
      </c>
      <c r="J18" s="27">
        <f>83.678-72.378</f>
        <v>11.299999999999997</v>
      </c>
      <c r="K18" s="34">
        <v>0</v>
      </c>
      <c r="L18" s="183" t="s">
        <v>47</v>
      </c>
      <c r="M18" s="277"/>
    </row>
    <row r="19" spans="1:13" s="87" customFormat="1" ht="60" customHeight="1">
      <c r="A19" s="317"/>
      <c r="B19" s="528"/>
      <c r="C19" s="181" t="s">
        <v>46</v>
      </c>
      <c r="D19" s="183">
        <v>2021</v>
      </c>
      <c r="E19" s="27">
        <f t="shared" si="2"/>
        <v>1138.3000000000002</v>
      </c>
      <c r="F19" s="25"/>
      <c r="G19" s="27">
        <f t="shared" si="3"/>
        <v>1126.9</v>
      </c>
      <c r="H19" s="27">
        <f>561.9+565</f>
        <v>1126.9</v>
      </c>
      <c r="I19" s="27">
        <v>0</v>
      </c>
      <c r="J19" s="27">
        <v>11.4</v>
      </c>
      <c r="K19" s="34">
        <v>0</v>
      </c>
      <c r="L19" s="275"/>
      <c r="M19" s="277"/>
    </row>
    <row r="20" spans="1:13" s="87" customFormat="1" ht="48.75" customHeight="1" thickBot="1">
      <c r="A20" s="283"/>
      <c r="B20" s="285"/>
      <c r="C20" s="183" t="s">
        <v>47</v>
      </c>
      <c r="D20" s="183">
        <v>2021</v>
      </c>
      <c r="E20" s="27">
        <f t="shared" si="2"/>
        <v>0</v>
      </c>
      <c r="F20" s="25"/>
      <c r="G20" s="27">
        <f t="shared" si="3"/>
        <v>0</v>
      </c>
      <c r="H20" s="27">
        <f>565-565</f>
        <v>0</v>
      </c>
      <c r="I20" s="27">
        <v>0</v>
      </c>
      <c r="J20" s="27">
        <v>0</v>
      </c>
      <c r="K20" s="34">
        <v>0</v>
      </c>
      <c r="L20" s="275"/>
      <c r="M20" s="277"/>
    </row>
    <row r="21" spans="1:13" s="87" customFormat="1" ht="69" customHeight="1">
      <c r="A21" s="282" t="s">
        <v>248</v>
      </c>
      <c r="B21" s="333" t="s">
        <v>249</v>
      </c>
      <c r="C21" s="181" t="s">
        <v>46</v>
      </c>
      <c r="D21" s="1">
        <v>2020</v>
      </c>
      <c r="E21" s="27">
        <f t="shared" si="2"/>
        <v>0</v>
      </c>
      <c r="F21" s="8"/>
      <c r="G21" s="27">
        <f t="shared" si="3"/>
        <v>0</v>
      </c>
      <c r="H21" s="10">
        <v>0</v>
      </c>
      <c r="I21" s="10">
        <v>0</v>
      </c>
      <c r="J21" s="10">
        <v>0</v>
      </c>
      <c r="K21" s="10">
        <v>0</v>
      </c>
      <c r="L21" s="181" t="s">
        <v>46</v>
      </c>
      <c r="M21" s="277"/>
    </row>
    <row r="22" spans="1:13" s="87" customFormat="1" ht="81" customHeight="1" thickBot="1">
      <c r="A22" s="283"/>
      <c r="B22" s="316"/>
      <c r="C22" s="183" t="s">
        <v>47</v>
      </c>
      <c r="D22" s="1">
        <v>2020</v>
      </c>
      <c r="E22" s="27">
        <f t="shared" si="2"/>
        <v>0</v>
      </c>
      <c r="F22" s="8"/>
      <c r="G22" s="27">
        <f t="shared" si="3"/>
        <v>0</v>
      </c>
      <c r="H22" s="10">
        <v>0</v>
      </c>
      <c r="I22" s="10">
        <v>0</v>
      </c>
      <c r="J22" s="10">
        <v>0</v>
      </c>
      <c r="K22" s="10">
        <v>0</v>
      </c>
      <c r="L22" s="183" t="s">
        <v>47</v>
      </c>
      <c r="M22" s="278"/>
    </row>
    <row r="23" spans="1:13" s="87" customFormat="1" ht="30.75" customHeight="1">
      <c r="A23" s="282" t="s">
        <v>251</v>
      </c>
      <c r="B23" s="315" t="s">
        <v>290</v>
      </c>
      <c r="C23" s="257"/>
      <c r="D23" s="204">
        <v>2021</v>
      </c>
      <c r="E23" s="139">
        <f aca="true" t="shared" si="4" ref="E23:K23">E24</f>
        <v>1149.4</v>
      </c>
      <c r="F23" s="139">
        <f t="shared" si="4"/>
        <v>0</v>
      </c>
      <c r="G23" s="139">
        <f t="shared" si="4"/>
        <v>1000</v>
      </c>
      <c r="H23" s="139">
        <f t="shared" si="4"/>
        <v>1000</v>
      </c>
      <c r="I23" s="139">
        <f t="shared" si="4"/>
        <v>0</v>
      </c>
      <c r="J23" s="139">
        <f t="shared" si="4"/>
        <v>149.4</v>
      </c>
      <c r="K23" s="139">
        <f t="shared" si="4"/>
        <v>0</v>
      </c>
      <c r="L23" s="81"/>
      <c r="M23" s="318" t="s">
        <v>286</v>
      </c>
    </row>
    <row r="24" spans="1:13" s="87" customFormat="1" ht="65.25" customHeight="1">
      <c r="A24" s="317"/>
      <c r="B24" s="315"/>
      <c r="C24" s="183" t="s">
        <v>47</v>
      </c>
      <c r="D24" s="4">
        <v>2021</v>
      </c>
      <c r="E24" s="27">
        <f>F24+G24+J24+K24</f>
        <v>1149.4</v>
      </c>
      <c r="F24" s="25"/>
      <c r="G24" s="27">
        <f>H24+I24</f>
        <v>1000</v>
      </c>
      <c r="H24" s="27">
        <v>1000</v>
      </c>
      <c r="I24" s="27"/>
      <c r="J24" s="27">
        <v>149.4</v>
      </c>
      <c r="K24" s="36"/>
      <c r="L24" s="183" t="s">
        <v>47</v>
      </c>
      <c r="M24" s="319"/>
    </row>
    <row r="25" spans="1:13" s="87" customFormat="1" ht="33" customHeight="1">
      <c r="A25" s="317"/>
      <c r="B25" s="315"/>
      <c r="C25" s="258"/>
      <c r="D25" s="109">
        <v>2022</v>
      </c>
      <c r="E25" s="25">
        <f aca="true" t="shared" si="5" ref="E25:K25">E26</f>
        <v>1092</v>
      </c>
      <c r="F25" s="25">
        <f t="shared" si="5"/>
        <v>0</v>
      </c>
      <c r="G25" s="25">
        <f t="shared" si="5"/>
        <v>950</v>
      </c>
      <c r="H25" s="25">
        <f t="shared" si="5"/>
        <v>950</v>
      </c>
      <c r="I25" s="25">
        <f t="shared" si="5"/>
        <v>0</v>
      </c>
      <c r="J25" s="25">
        <f t="shared" si="5"/>
        <v>142</v>
      </c>
      <c r="K25" s="25">
        <f t="shared" si="5"/>
        <v>0</v>
      </c>
      <c r="L25" s="258"/>
      <c r="M25" s="319"/>
    </row>
    <row r="26" spans="1:13" s="87" customFormat="1" ht="64.5" customHeight="1" thickBot="1">
      <c r="A26" s="283"/>
      <c r="B26" s="316"/>
      <c r="C26" s="205" t="s">
        <v>46</v>
      </c>
      <c r="D26" s="4">
        <v>2022</v>
      </c>
      <c r="E26" s="206">
        <f>F26+G26+J26+K26</f>
        <v>1092</v>
      </c>
      <c r="F26" s="190"/>
      <c r="G26" s="206">
        <f>H26+I26</f>
        <v>950</v>
      </c>
      <c r="H26" s="206">
        <v>950</v>
      </c>
      <c r="I26" s="206"/>
      <c r="J26" s="206">
        <v>142</v>
      </c>
      <c r="K26" s="191"/>
      <c r="L26" s="205" t="s">
        <v>46</v>
      </c>
      <c r="M26" s="320"/>
    </row>
    <row r="27" spans="1:13" s="87" customFormat="1" ht="127.5" customHeight="1">
      <c r="A27" s="282" t="s">
        <v>253</v>
      </c>
      <c r="B27" s="284" t="s">
        <v>291</v>
      </c>
      <c r="C27" s="1" t="s">
        <v>46</v>
      </c>
      <c r="D27" s="4">
        <v>2021</v>
      </c>
      <c r="E27" s="47">
        <f>F27+G27+J27+K27</f>
        <v>0</v>
      </c>
      <c r="F27" s="47">
        <v>0</v>
      </c>
      <c r="G27" s="47">
        <f>H27+I27</f>
        <v>0</v>
      </c>
      <c r="H27" s="47">
        <v>0</v>
      </c>
      <c r="I27" s="47">
        <v>0</v>
      </c>
      <c r="J27" s="47">
        <v>0</v>
      </c>
      <c r="K27" s="47">
        <v>0</v>
      </c>
      <c r="L27" s="1" t="s">
        <v>46</v>
      </c>
      <c r="M27" s="307" t="s">
        <v>284</v>
      </c>
    </row>
    <row r="28" spans="1:13" s="87" customFormat="1" ht="125.25" customHeight="1">
      <c r="A28" s="283"/>
      <c r="B28" s="285"/>
      <c r="C28" s="1" t="s">
        <v>254</v>
      </c>
      <c r="D28" s="4">
        <v>2022</v>
      </c>
      <c r="E28" s="47">
        <f>F28+G28+J28+K28</f>
        <v>0</v>
      </c>
      <c r="F28" s="47">
        <v>0</v>
      </c>
      <c r="G28" s="47">
        <f>H28+I28</f>
        <v>0</v>
      </c>
      <c r="H28" s="47">
        <v>0</v>
      </c>
      <c r="I28" s="47">
        <v>0</v>
      </c>
      <c r="J28" s="47">
        <v>0</v>
      </c>
      <c r="K28" s="47">
        <v>0</v>
      </c>
      <c r="L28" s="1" t="s">
        <v>254</v>
      </c>
      <c r="M28" s="308"/>
    </row>
    <row r="29" spans="1:13" s="87" customFormat="1" ht="61.5" customHeight="1">
      <c r="A29" s="522" t="s">
        <v>260</v>
      </c>
      <c r="B29" s="506" t="s">
        <v>294</v>
      </c>
      <c r="C29" s="265"/>
      <c r="D29" s="266" t="s">
        <v>261</v>
      </c>
      <c r="E29" s="267">
        <f aca="true" t="shared" si="6" ref="E29:J29">E30+E31+E32+E33+E34+E35+E36+E37+E38</f>
        <v>4554.7</v>
      </c>
      <c r="F29" s="267">
        <f t="shared" si="6"/>
        <v>0</v>
      </c>
      <c r="G29" s="267">
        <f t="shared" si="6"/>
        <v>4509.2</v>
      </c>
      <c r="H29" s="267">
        <f t="shared" si="6"/>
        <v>4509.2</v>
      </c>
      <c r="I29" s="267">
        <f t="shared" si="6"/>
        <v>0</v>
      </c>
      <c r="J29" s="267">
        <f t="shared" si="6"/>
        <v>45.5</v>
      </c>
      <c r="K29" s="267">
        <f>K30+K31+K32+K33+K34+K35+K36+K37+K38</f>
        <v>0</v>
      </c>
      <c r="L29" s="261"/>
      <c r="M29" s="304" t="s">
        <v>283</v>
      </c>
    </row>
    <row r="30" spans="1:13" s="87" customFormat="1" ht="66" customHeight="1">
      <c r="A30" s="523"/>
      <c r="B30" s="507"/>
      <c r="C30" s="264" t="s">
        <v>46</v>
      </c>
      <c r="D30" s="264" t="s">
        <v>261</v>
      </c>
      <c r="E30" s="10">
        <f aca="true" t="shared" si="7" ref="E30:E38">F30+G30+J30+K30</f>
        <v>4554.7</v>
      </c>
      <c r="F30" s="268"/>
      <c r="G30" s="10">
        <f aca="true" t="shared" si="8" ref="G30:G38">H30+I30</f>
        <v>4509.2</v>
      </c>
      <c r="H30" s="10">
        <v>4509.2</v>
      </c>
      <c r="I30" s="10">
        <v>0</v>
      </c>
      <c r="J30" s="10">
        <v>45.5</v>
      </c>
      <c r="K30" s="10">
        <v>0</v>
      </c>
      <c r="L30" s="1" t="s">
        <v>46</v>
      </c>
      <c r="M30" s="305"/>
    </row>
    <row r="31" spans="1:13" s="87" customFormat="1" ht="69.75" customHeight="1">
      <c r="A31" s="524"/>
      <c r="B31" s="508"/>
      <c r="C31" s="264" t="s">
        <v>47</v>
      </c>
      <c r="D31" s="264" t="s">
        <v>261</v>
      </c>
      <c r="E31" s="10">
        <f t="shared" si="7"/>
        <v>0</v>
      </c>
      <c r="F31" s="269"/>
      <c r="G31" s="10">
        <f t="shared" si="8"/>
        <v>0</v>
      </c>
      <c r="H31" s="268">
        <v>0</v>
      </c>
      <c r="I31" s="268">
        <v>0</v>
      </c>
      <c r="J31" s="268">
        <v>0</v>
      </c>
      <c r="K31" s="268">
        <v>0</v>
      </c>
      <c r="L31" s="1" t="s">
        <v>254</v>
      </c>
      <c r="M31" s="305"/>
    </row>
    <row r="32" spans="1:13" s="87" customFormat="1" ht="213.75" customHeight="1">
      <c r="A32" s="262" t="s">
        <v>262</v>
      </c>
      <c r="B32" s="270" t="s">
        <v>263</v>
      </c>
      <c r="C32" s="264" t="s">
        <v>46</v>
      </c>
      <c r="D32" s="264" t="s">
        <v>261</v>
      </c>
      <c r="E32" s="47">
        <f t="shared" si="7"/>
        <v>0</v>
      </c>
      <c r="F32" s="267">
        <v>0</v>
      </c>
      <c r="G32" s="10">
        <f t="shared" si="8"/>
        <v>0</v>
      </c>
      <c r="H32" s="267">
        <v>0</v>
      </c>
      <c r="I32" s="267">
        <v>0</v>
      </c>
      <c r="J32" s="267">
        <v>0</v>
      </c>
      <c r="K32" s="267">
        <v>0</v>
      </c>
      <c r="L32" s="264" t="s">
        <v>46</v>
      </c>
      <c r="M32" s="305"/>
    </row>
    <row r="33" spans="1:13" s="87" customFormat="1" ht="117" customHeight="1">
      <c r="A33" s="262" t="s">
        <v>264</v>
      </c>
      <c r="B33" s="263" t="s">
        <v>265</v>
      </c>
      <c r="C33" s="264" t="s">
        <v>46</v>
      </c>
      <c r="D33" s="266" t="s">
        <v>261</v>
      </c>
      <c r="E33" s="47">
        <f t="shared" si="7"/>
        <v>0</v>
      </c>
      <c r="F33" s="267">
        <v>0</v>
      </c>
      <c r="G33" s="47">
        <f t="shared" si="8"/>
        <v>0</v>
      </c>
      <c r="H33" s="267">
        <v>0</v>
      </c>
      <c r="I33" s="267">
        <v>0</v>
      </c>
      <c r="J33" s="267">
        <v>0</v>
      </c>
      <c r="K33" s="267">
        <v>0</v>
      </c>
      <c r="L33" s="264" t="s">
        <v>46</v>
      </c>
      <c r="M33" s="305"/>
    </row>
    <row r="34" spans="1:13" s="87" customFormat="1" ht="127.5" customHeight="1">
      <c r="A34" s="262" t="s">
        <v>266</v>
      </c>
      <c r="B34" s="178" t="s">
        <v>267</v>
      </c>
      <c r="C34" s="1" t="s">
        <v>268</v>
      </c>
      <c r="D34" s="4">
        <v>2021</v>
      </c>
      <c r="E34" s="47">
        <f t="shared" si="7"/>
        <v>0</v>
      </c>
      <c r="F34" s="267">
        <v>0</v>
      </c>
      <c r="G34" s="47">
        <f t="shared" si="8"/>
        <v>0</v>
      </c>
      <c r="H34" s="47">
        <v>0</v>
      </c>
      <c r="I34" s="47">
        <v>0</v>
      </c>
      <c r="J34" s="47">
        <v>0</v>
      </c>
      <c r="K34" s="47">
        <v>0</v>
      </c>
      <c r="L34" s="264" t="s">
        <v>46</v>
      </c>
      <c r="M34" s="305"/>
    </row>
    <row r="35" spans="1:13" s="87" customFormat="1" ht="247.5" customHeight="1">
      <c r="A35" s="262" t="s">
        <v>269</v>
      </c>
      <c r="B35" s="178" t="s">
        <v>270</v>
      </c>
      <c r="C35" s="1" t="s">
        <v>46</v>
      </c>
      <c r="D35" s="4">
        <v>2021</v>
      </c>
      <c r="E35" s="47">
        <f t="shared" si="7"/>
        <v>0</v>
      </c>
      <c r="F35" s="267"/>
      <c r="G35" s="47">
        <f t="shared" si="8"/>
        <v>0</v>
      </c>
      <c r="H35" s="47">
        <v>0</v>
      </c>
      <c r="I35" s="47">
        <v>0</v>
      </c>
      <c r="J35" s="47">
        <v>0</v>
      </c>
      <c r="K35" s="47">
        <v>0</v>
      </c>
      <c r="L35" s="264" t="s">
        <v>46</v>
      </c>
      <c r="M35" s="305"/>
    </row>
    <row r="36" spans="1:13" s="87" customFormat="1" ht="177" customHeight="1">
      <c r="A36" s="262" t="s">
        <v>271</v>
      </c>
      <c r="B36" s="178" t="s">
        <v>272</v>
      </c>
      <c r="C36" s="1" t="s">
        <v>46</v>
      </c>
      <c r="D36" s="4">
        <v>2021</v>
      </c>
      <c r="E36" s="47">
        <f t="shared" si="7"/>
        <v>0</v>
      </c>
      <c r="F36" s="267"/>
      <c r="G36" s="47">
        <f t="shared" si="8"/>
        <v>0</v>
      </c>
      <c r="H36" s="47">
        <v>0</v>
      </c>
      <c r="I36" s="47">
        <v>0</v>
      </c>
      <c r="J36" s="47">
        <v>0</v>
      </c>
      <c r="K36" s="47">
        <v>0</v>
      </c>
      <c r="L36" s="8"/>
      <c r="M36" s="305"/>
    </row>
    <row r="37" spans="1:13" s="87" customFormat="1" ht="155.25" customHeight="1">
      <c r="A37" s="262" t="s">
        <v>273</v>
      </c>
      <c r="B37" s="178" t="s">
        <v>274</v>
      </c>
      <c r="C37" s="1" t="s">
        <v>46</v>
      </c>
      <c r="D37" s="4">
        <v>2021</v>
      </c>
      <c r="E37" s="47">
        <f t="shared" si="7"/>
        <v>0</v>
      </c>
      <c r="F37" s="267"/>
      <c r="G37" s="47">
        <f t="shared" si="8"/>
        <v>0</v>
      </c>
      <c r="H37" s="47">
        <v>0</v>
      </c>
      <c r="I37" s="47">
        <v>0</v>
      </c>
      <c r="J37" s="47">
        <v>0</v>
      </c>
      <c r="K37" s="47">
        <v>0</v>
      </c>
      <c r="L37" s="264" t="s">
        <v>46</v>
      </c>
      <c r="M37" s="305"/>
    </row>
    <row r="38" spans="1:13" s="87" customFormat="1" ht="192" customHeight="1">
      <c r="A38" s="262" t="s">
        <v>275</v>
      </c>
      <c r="B38" s="178" t="s">
        <v>276</v>
      </c>
      <c r="C38" s="1" t="s">
        <v>46</v>
      </c>
      <c r="D38" s="4">
        <v>2021</v>
      </c>
      <c r="E38" s="47">
        <f t="shared" si="7"/>
        <v>0</v>
      </c>
      <c r="F38" s="271"/>
      <c r="G38" s="47">
        <f t="shared" si="8"/>
        <v>0</v>
      </c>
      <c r="H38" s="47">
        <v>0</v>
      </c>
      <c r="I38" s="47">
        <v>0</v>
      </c>
      <c r="J38" s="47">
        <v>0</v>
      </c>
      <c r="K38" s="47">
        <v>0</v>
      </c>
      <c r="L38" s="264" t="s">
        <v>46</v>
      </c>
      <c r="M38" s="306"/>
    </row>
    <row r="39" spans="1:13" s="273" customFormat="1" ht="159" customHeight="1">
      <c r="A39" s="282" t="s">
        <v>278</v>
      </c>
      <c r="B39" s="284" t="s">
        <v>293</v>
      </c>
      <c r="C39" s="4"/>
      <c r="D39" s="4">
        <v>2021</v>
      </c>
      <c r="E39" s="47">
        <f aca="true" t="shared" si="9" ref="E39:J39">E40</f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7">
        <f t="shared" si="9"/>
        <v>0</v>
      </c>
      <c r="K39" s="47">
        <f>K40</f>
        <v>0</v>
      </c>
      <c r="L39" s="4"/>
      <c r="M39" s="113"/>
    </row>
    <row r="40" spans="1:13" s="273" customFormat="1" ht="143.25" customHeight="1">
      <c r="A40" s="283"/>
      <c r="B40" s="285"/>
      <c r="C40" s="1" t="s">
        <v>279</v>
      </c>
      <c r="D40" s="1">
        <v>2021</v>
      </c>
      <c r="E40" s="10">
        <f>F40+G40+J40+K40</f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4"/>
      <c r="M40" s="113"/>
    </row>
    <row r="41" spans="1:13" s="87" customFormat="1" ht="21">
      <c r="A41" s="86"/>
      <c r="B41" s="477" t="s">
        <v>280</v>
      </c>
      <c r="C41" s="8"/>
      <c r="D41" s="8">
        <v>2020</v>
      </c>
      <c r="E41" s="274">
        <f aca="true" t="shared" si="10" ref="E41:J41">E15</f>
        <v>1128.3</v>
      </c>
      <c r="F41" s="274">
        <f t="shared" si="10"/>
        <v>0</v>
      </c>
      <c r="G41" s="274">
        <f t="shared" si="10"/>
        <v>1117</v>
      </c>
      <c r="H41" s="274">
        <f t="shared" si="10"/>
        <v>1117</v>
      </c>
      <c r="I41" s="274">
        <f t="shared" si="10"/>
        <v>0</v>
      </c>
      <c r="J41" s="274">
        <f t="shared" si="10"/>
        <v>11.299999999999997</v>
      </c>
      <c r="K41" s="274">
        <f>K15</f>
        <v>0</v>
      </c>
      <c r="L41" s="8"/>
      <c r="M41" s="39"/>
    </row>
    <row r="42" spans="1:13" s="87" customFormat="1" ht="21">
      <c r="A42" s="86"/>
      <c r="B42" s="478"/>
      <c r="C42" s="8"/>
      <c r="D42" s="8">
        <v>2021</v>
      </c>
      <c r="E42" s="274">
        <f aca="true" t="shared" si="11" ref="E42:K42">E23+E27+E29+E39+E16</f>
        <v>6842.400000000001</v>
      </c>
      <c r="F42" s="274">
        <f t="shared" si="11"/>
        <v>0</v>
      </c>
      <c r="G42" s="274">
        <f t="shared" si="11"/>
        <v>6636.1</v>
      </c>
      <c r="H42" s="274">
        <f t="shared" si="11"/>
        <v>6636.1</v>
      </c>
      <c r="I42" s="274">
        <f t="shared" si="11"/>
        <v>0</v>
      </c>
      <c r="J42" s="274">
        <f t="shared" si="11"/>
        <v>206.3</v>
      </c>
      <c r="K42" s="274">
        <f t="shared" si="11"/>
        <v>0</v>
      </c>
      <c r="L42" s="8"/>
      <c r="M42" s="39"/>
    </row>
    <row r="43" spans="1:13" s="87" customFormat="1" ht="21">
      <c r="A43" s="86"/>
      <c r="B43" s="478"/>
      <c r="C43" s="8"/>
      <c r="D43" s="8">
        <v>2022</v>
      </c>
      <c r="E43" s="274">
        <f aca="true" t="shared" si="12" ref="E43:K43">E25+E28</f>
        <v>1092</v>
      </c>
      <c r="F43" s="274">
        <f t="shared" si="12"/>
        <v>0</v>
      </c>
      <c r="G43" s="274">
        <f t="shared" si="12"/>
        <v>950</v>
      </c>
      <c r="H43" s="274">
        <f t="shared" si="12"/>
        <v>950</v>
      </c>
      <c r="I43" s="274">
        <f t="shared" si="12"/>
        <v>0</v>
      </c>
      <c r="J43" s="274">
        <f t="shared" si="12"/>
        <v>142</v>
      </c>
      <c r="K43" s="274">
        <f t="shared" si="12"/>
        <v>0</v>
      </c>
      <c r="L43" s="8"/>
      <c r="M43" s="39"/>
    </row>
    <row r="44" spans="1:13" s="87" customFormat="1" ht="21">
      <c r="A44" s="86"/>
      <c r="B44" s="479"/>
      <c r="C44" s="8"/>
      <c r="D44" s="8">
        <v>2023</v>
      </c>
      <c r="E44" s="274">
        <f>F44+G44+J44+K44</f>
        <v>0</v>
      </c>
      <c r="F44" s="274">
        <v>0</v>
      </c>
      <c r="G44" s="274">
        <f>H44+I44</f>
        <v>0</v>
      </c>
      <c r="H44" s="274">
        <v>0</v>
      </c>
      <c r="I44" s="274">
        <v>0</v>
      </c>
      <c r="J44" s="274">
        <v>0</v>
      </c>
      <c r="K44" s="274">
        <v>0</v>
      </c>
      <c r="L44" s="8"/>
      <c r="M44" s="39"/>
    </row>
    <row r="45" spans="1:13" s="87" customFormat="1" ht="21">
      <c r="A45" s="86"/>
      <c r="B45" s="8" t="s">
        <v>281</v>
      </c>
      <c r="C45" s="8"/>
      <c r="D45" s="8"/>
      <c r="E45" s="274">
        <f>E41+E42+E43+E44</f>
        <v>9062.7</v>
      </c>
      <c r="F45" s="274">
        <f aca="true" t="shared" si="13" ref="F45:K45">F41+F42+F43+F44</f>
        <v>0</v>
      </c>
      <c r="G45" s="274">
        <f t="shared" si="13"/>
        <v>8703.1</v>
      </c>
      <c r="H45" s="274">
        <f t="shared" si="13"/>
        <v>8703.1</v>
      </c>
      <c r="I45" s="274">
        <f t="shared" si="13"/>
        <v>0</v>
      </c>
      <c r="J45" s="274">
        <f t="shared" si="13"/>
        <v>359.6</v>
      </c>
      <c r="K45" s="274">
        <f t="shared" si="13"/>
        <v>0</v>
      </c>
      <c r="L45" s="8"/>
      <c r="M45" s="39"/>
    </row>
    <row r="46" spans="1:13" s="77" customFormat="1" ht="24" customHeight="1" hidden="1">
      <c r="A46" s="321" t="s">
        <v>29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3"/>
    </row>
    <row r="47" spans="1:13" s="77" customFormat="1" ht="20.25" customHeight="1" hidden="1">
      <c r="A47" s="481" t="s">
        <v>72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4"/>
    </row>
    <row r="48" spans="1:13" s="77" customFormat="1" ht="86.25" customHeight="1" hidden="1">
      <c r="A48" s="482" t="s">
        <v>176</v>
      </c>
      <c r="B48" s="483"/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4"/>
    </row>
    <row r="49" spans="1:13" s="77" customFormat="1" ht="25.5" customHeight="1" hidden="1">
      <c r="A49" s="481" t="s">
        <v>2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3"/>
    </row>
    <row r="50" spans="1:13" s="77" customFormat="1" ht="24.75" customHeight="1">
      <c r="A50" s="372" t="s">
        <v>73</v>
      </c>
      <c r="B50" s="358" t="s">
        <v>74</v>
      </c>
      <c r="C50" s="358"/>
      <c r="D50" s="477">
        <v>2017</v>
      </c>
      <c r="E50" s="414">
        <f>F50+G50+J50+K50</f>
        <v>0</v>
      </c>
      <c r="F50" s="414"/>
      <c r="G50" s="486">
        <f>H50+I50</f>
        <v>0</v>
      </c>
      <c r="H50" s="428"/>
      <c r="I50" s="428">
        <v>0</v>
      </c>
      <c r="J50" s="428">
        <v>0</v>
      </c>
      <c r="K50" s="485"/>
      <c r="L50" s="360" t="s">
        <v>3</v>
      </c>
      <c r="M50" s="358" t="s">
        <v>66</v>
      </c>
    </row>
    <row r="51" spans="1:13" s="77" customFormat="1" ht="21.75" customHeight="1">
      <c r="A51" s="372"/>
      <c r="B51" s="358"/>
      <c r="C51" s="358"/>
      <c r="D51" s="479"/>
      <c r="E51" s="414"/>
      <c r="F51" s="414"/>
      <c r="G51" s="486"/>
      <c r="H51" s="428"/>
      <c r="I51" s="428"/>
      <c r="J51" s="428"/>
      <c r="K51" s="485"/>
      <c r="L51" s="360"/>
      <c r="M51" s="358"/>
    </row>
    <row r="52" spans="1:13" s="77" customFormat="1" ht="24.75" customHeight="1">
      <c r="A52" s="372"/>
      <c r="B52" s="358"/>
      <c r="C52" s="358"/>
      <c r="D52" s="4">
        <v>2018</v>
      </c>
      <c r="E52" s="25">
        <f>F52+G52+J52+K52</f>
        <v>0</v>
      </c>
      <c r="F52" s="25"/>
      <c r="G52" s="11">
        <f>H52+I52</f>
        <v>0</v>
      </c>
      <c r="H52" s="2"/>
      <c r="I52" s="2">
        <v>0</v>
      </c>
      <c r="J52" s="2">
        <v>0</v>
      </c>
      <c r="K52" s="40"/>
      <c r="L52" s="72" t="s">
        <v>3</v>
      </c>
      <c r="M52" s="358"/>
    </row>
    <row r="53" spans="1:13" s="77" customFormat="1" ht="29.25" customHeight="1">
      <c r="A53" s="372"/>
      <c r="B53" s="358"/>
      <c r="C53" s="358"/>
      <c r="D53" s="4">
        <v>2019</v>
      </c>
      <c r="E53" s="25">
        <f>F53+G53+J53+K53</f>
        <v>0</v>
      </c>
      <c r="F53" s="11"/>
      <c r="G53" s="11">
        <f>H53+I53</f>
        <v>0</v>
      </c>
      <c r="H53" s="11"/>
      <c r="I53" s="2">
        <v>0</v>
      </c>
      <c r="J53" s="2">
        <v>0</v>
      </c>
      <c r="K53" s="40"/>
      <c r="L53" s="72" t="s">
        <v>3</v>
      </c>
      <c r="M53" s="358"/>
    </row>
    <row r="54" spans="1:13" s="77" customFormat="1" ht="25.5" customHeight="1">
      <c r="A54" s="372"/>
      <c r="B54" s="358"/>
      <c r="C54" s="358"/>
      <c r="D54" s="4">
        <v>2020</v>
      </c>
      <c r="E54" s="25">
        <f>F54+G54+J54+K54</f>
        <v>0</v>
      </c>
      <c r="F54" s="25"/>
      <c r="G54" s="11">
        <f>H54+I54</f>
        <v>0</v>
      </c>
      <c r="H54" s="11"/>
      <c r="I54" s="2">
        <v>0</v>
      </c>
      <c r="J54" s="2">
        <v>0</v>
      </c>
      <c r="K54" s="23"/>
      <c r="L54" s="3" t="s">
        <v>3</v>
      </c>
      <c r="M54" s="358"/>
    </row>
    <row r="55" spans="1:13" s="77" customFormat="1" ht="27.75" customHeight="1">
      <c r="A55" s="372"/>
      <c r="B55" s="358"/>
      <c r="C55" s="358"/>
      <c r="D55" s="4">
        <v>2021</v>
      </c>
      <c r="E55" s="25">
        <f>F55+G55+J55+K55</f>
        <v>0</v>
      </c>
      <c r="F55" s="25"/>
      <c r="G55" s="11">
        <f>H55+I55</f>
        <v>0</v>
      </c>
      <c r="H55" s="11"/>
      <c r="I55" s="2">
        <v>0</v>
      </c>
      <c r="J55" s="2">
        <v>0</v>
      </c>
      <c r="K55" s="23"/>
      <c r="L55" s="3" t="s">
        <v>3</v>
      </c>
      <c r="M55" s="358"/>
    </row>
    <row r="56" spans="1:13" s="77" customFormat="1" ht="55.5" customHeight="1">
      <c r="A56" s="372" t="s">
        <v>75</v>
      </c>
      <c r="B56" s="358" t="s">
        <v>154</v>
      </c>
      <c r="C56" s="358"/>
      <c r="D56" s="4">
        <v>2017</v>
      </c>
      <c r="E56" s="25">
        <f aca="true" t="shared" si="14" ref="E56:E62">F56+I56+J56+K56</f>
        <v>155.5623</v>
      </c>
      <c r="F56" s="25"/>
      <c r="G56" s="25">
        <f aca="true" t="shared" si="15" ref="G56:G62">H56+I56</f>
        <v>0</v>
      </c>
      <c r="H56" s="26"/>
      <c r="I56" s="27">
        <v>0</v>
      </c>
      <c r="J56" s="27">
        <f>40+68.197-39.45+0.42+51.795+4.6003+30</f>
        <v>155.5623</v>
      </c>
      <c r="K56" s="28"/>
      <c r="L56" s="3" t="s">
        <v>6</v>
      </c>
      <c r="M56" s="358" t="s">
        <v>57</v>
      </c>
    </row>
    <row r="57" spans="1:13" s="77" customFormat="1" ht="57.75" customHeight="1">
      <c r="A57" s="372"/>
      <c r="B57" s="358"/>
      <c r="C57" s="358"/>
      <c r="D57" s="4">
        <v>2018</v>
      </c>
      <c r="E57" s="25">
        <f t="shared" si="14"/>
        <v>394.40002999999996</v>
      </c>
      <c r="F57" s="25"/>
      <c r="G57" s="25">
        <f t="shared" si="15"/>
        <v>0</v>
      </c>
      <c r="H57" s="26"/>
      <c r="I57" s="27">
        <v>0</v>
      </c>
      <c r="J57" s="27">
        <f>325-70-60+150-5.5-9.25-8.1+41.63+30.62003</f>
        <v>394.40002999999996</v>
      </c>
      <c r="K57" s="28"/>
      <c r="L57" s="3" t="s">
        <v>117</v>
      </c>
      <c r="M57" s="358"/>
    </row>
    <row r="58" spans="1:13" s="77" customFormat="1" ht="50.25" customHeight="1">
      <c r="A58" s="372"/>
      <c r="B58" s="358"/>
      <c r="C58" s="358"/>
      <c r="D58" s="4">
        <v>2019</v>
      </c>
      <c r="E58" s="25">
        <f t="shared" si="14"/>
        <v>194.37999999999997</v>
      </c>
      <c r="F58" s="25"/>
      <c r="G58" s="25">
        <f t="shared" si="15"/>
        <v>0</v>
      </c>
      <c r="H58" s="26"/>
      <c r="I58" s="27">
        <v>0</v>
      </c>
      <c r="J58" s="25">
        <f>363.78-1.1-12.25-15.357-19-61.293-19-42.5+1.1</f>
        <v>194.37999999999997</v>
      </c>
      <c r="K58" s="28"/>
      <c r="L58" s="3" t="s">
        <v>30</v>
      </c>
      <c r="M58" s="358"/>
    </row>
    <row r="59" spans="1:13" s="77" customFormat="1" ht="63" customHeight="1">
      <c r="A59" s="372"/>
      <c r="B59" s="358"/>
      <c r="C59" s="358"/>
      <c r="D59" s="4">
        <v>2020</v>
      </c>
      <c r="E59" s="25">
        <f t="shared" si="14"/>
        <v>276.53</v>
      </c>
      <c r="F59" s="25"/>
      <c r="G59" s="25">
        <f t="shared" si="15"/>
        <v>0</v>
      </c>
      <c r="H59" s="26"/>
      <c r="I59" s="27">
        <v>0</v>
      </c>
      <c r="J59" s="25">
        <v>276.53</v>
      </c>
      <c r="K59" s="28"/>
      <c r="L59" s="3" t="s">
        <v>30</v>
      </c>
      <c r="M59" s="358"/>
    </row>
    <row r="60" spans="1:13" s="77" customFormat="1" ht="66.75" customHeight="1">
      <c r="A60" s="372"/>
      <c r="B60" s="358"/>
      <c r="C60" s="358"/>
      <c r="D60" s="4">
        <v>2021</v>
      </c>
      <c r="E60" s="25">
        <f>F60+I60+J60+K60</f>
        <v>276.53</v>
      </c>
      <c r="F60" s="25"/>
      <c r="G60" s="25">
        <f>H60+I60</f>
        <v>0</v>
      </c>
      <c r="H60" s="26"/>
      <c r="I60" s="27">
        <v>0</v>
      </c>
      <c r="J60" s="25">
        <v>276.53</v>
      </c>
      <c r="K60" s="28"/>
      <c r="L60" s="3"/>
      <c r="M60" s="358"/>
    </row>
    <row r="61" spans="1:13" s="77" customFormat="1" ht="57.75" customHeight="1">
      <c r="A61" s="372"/>
      <c r="B61" s="358"/>
      <c r="C61" s="358"/>
      <c r="D61" s="4">
        <v>2022</v>
      </c>
      <c r="E61" s="25">
        <f t="shared" si="14"/>
        <v>276.53</v>
      </c>
      <c r="F61" s="25"/>
      <c r="G61" s="25">
        <f t="shared" si="15"/>
        <v>0</v>
      </c>
      <c r="H61" s="26"/>
      <c r="I61" s="27">
        <v>0</v>
      </c>
      <c r="J61" s="25">
        <v>276.53</v>
      </c>
      <c r="K61" s="28"/>
      <c r="L61" s="3" t="s">
        <v>30</v>
      </c>
      <c r="M61" s="358"/>
    </row>
    <row r="62" spans="1:13" s="77" customFormat="1" ht="45.75" customHeight="1">
      <c r="A62" s="296" t="s">
        <v>150</v>
      </c>
      <c r="B62" s="292" t="s">
        <v>151</v>
      </c>
      <c r="C62" s="293"/>
      <c r="D62" s="4">
        <v>2019</v>
      </c>
      <c r="E62" s="25">
        <f t="shared" si="14"/>
        <v>0</v>
      </c>
      <c r="F62" s="25"/>
      <c r="G62" s="25">
        <f t="shared" si="15"/>
        <v>0</v>
      </c>
      <c r="H62" s="26"/>
      <c r="I62" s="27">
        <v>0</v>
      </c>
      <c r="J62" s="25">
        <v>0</v>
      </c>
      <c r="K62" s="28"/>
      <c r="L62" s="3"/>
      <c r="M62" s="24"/>
    </row>
    <row r="63" spans="1:13" s="77" customFormat="1" ht="52.5" customHeight="1">
      <c r="A63" s="359"/>
      <c r="B63" s="294"/>
      <c r="C63" s="295"/>
      <c r="D63" s="4">
        <v>2020</v>
      </c>
      <c r="E63" s="25">
        <f>F63+I63+J63+K63</f>
        <v>0</v>
      </c>
      <c r="F63" s="25"/>
      <c r="G63" s="25">
        <f>H63+I63</f>
        <v>0</v>
      </c>
      <c r="H63" s="26"/>
      <c r="I63" s="27">
        <v>0</v>
      </c>
      <c r="J63" s="25">
        <v>0</v>
      </c>
      <c r="K63" s="28"/>
      <c r="L63" s="3"/>
      <c r="M63" s="24"/>
    </row>
    <row r="64" spans="1:13" s="77" customFormat="1" ht="45.75" customHeight="1">
      <c r="A64" s="126" t="s">
        <v>222</v>
      </c>
      <c r="B64" s="358" t="s">
        <v>223</v>
      </c>
      <c r="C64" s="358"/>
      <c r="D64" s="4">
        <v>2019</v>
      </c>
      <c r="E64" s="25">
        <f>F64+I64+J64+K64</f>
        <v>42.5</v>
      </c>
      <c r="F64" s="25"/>
      <c r="G64" s="25">
        <f>H64+I64</f>
        <v>0</v>
      </c>
      <c r="H64" s="26"/>
      <c r="I64" s="27"/>
      <c r="J64" s="25">
        <v>42.5</v>
      </c>
      <c r="K64" s="28"/>
      <c r="L64" s="3"/>
      <c r="M64" s="24"/>
    </row>
    <row r="65" spans="1:13" s="77" customFormat="1" ht="24.75" customHeight="1">
      <c r="A65" s="372" t="s">
        <v>76</v>
      </c>
      <c r="B65" s="358" t="s">
        <v>77</v>
      </c>
      <c r="C65" s="358"/>
      <c r="D65" s="4">
        <v>2017</v>
      </c>
      <c r="E65" s="29">
        <f aca="true" t="shared" si="16" ref="E65:E71">F65+G65+J65+K65</f>
        <v>11</v>
      </c>
      <c r="F65" s="29"/>
      <c r="G65" s="30">
        <f aca="true" t="shared" si="17" ref="G65:G72">H65+I65</f>
        <v>0</v>
      </c>
      <c r="H65" s="31"/>
      <c r="I65" s="32">
        <v>0</v>
      </c>
      <c r="J65" s="32">
        <f>11</f>
        <v>11</v>
      </c>
      <c r="K65" s="33"/>
      <c r="L65" s="6" t="s">
        <v>5</v>
      </c>
      <c r="M65" s="358" t="s">
        <v>56</v>
      </c>
    </row>
    <row r="66" spans="1:13" s="77" customFormat="1" ht="24.75" customHeight="1">
      <c r="A66" s="372"/>
      <c r="B66" s="358"/>
      <c r="C66" s="358"/>
      <c r="D66" s="4">
        <v>2018</v>
      </c>
      <c r="E66" s="29">
        <f t="shared" si="16"/>
        <v>0</v>
      </c>
      <c r="F66" s="29"/>
      <c r="G66" s="30">
        <f t="shared" si="17"/>
        <v>0</v>
      </c>
      <c r="H66" s="31"/>
      <c r="I66" s="32">
        <v>0</v>
      </c>
      <c r="J66" s="32">
        <v>0</v>
      </c>
      <c r="K66" s="33"/>
      <c r="L66" s="6" t="s">
        <v>4</v>
      </c>
      <c r="M66" s="358"/>
    </row>
    <row r="67" spans="1:13" s="77" customFormat="1" ht="24.75" customHeight="1">
      <c r="A67" s="372"/>
      <c r="B67" s="358"/>
      <c r="C67" s="358"/>
      <c r="D67" s="4">
        <v>2019</v>
      </c>
      <c r="E67" s="29">
        <f t="shared" si="16"/>
        <v>0</v>
      </c>
      <c r="F67" s="29"/>
      <c r="G67" s="30">
        <f t="shared" si="17"/>
        <v>0</v>
      </c>
      <c r="H67" s="31"/>
      <c r="I67" s="32">
        <v>0</v>
      </c>
      <c r="J67" s="32">
        <v>0</v>
      </c>
      <c r="K67" s="33"/>
      <c r="L67" s="6" t="s">
        <v>4</v>
      </c>
      <c r="M67" s="358"/>
    </row>
    <row r="68" spans="1:13" s="77" customFormat="1" ht="24.75" customHeight="1">
      <c r="A68" s="372"/>
      <c r="B68" s="358"/>
      <c r="C68" s="358"/>
      <c r="D68" s="4">
        <v>2020</v>
      </c>
      <c r="E68" s="29">
        <f t="shared" si="16"/>
        <v>0</v>
      </c>
      <c r="F68" s="29"/>
      <c r="G68" s="30">
        <f t="shared" si="17"/>
        <v>0</v>
      </c>
      <c r="H68" s="31"/>
      <c r="I68" s="32">
        <v>0</v>
      </c>
      <c r="J68" s="32">
        <v>0</v>
      </c>
      <c r="K68" s="33"/>
      <c r="L68" s="6" t="s">
        <v>4</v>
      </c>
      <c r="M68" s="358"/>
    </row>
    <row r="69" spans="1:13" s="77" customFormat="1" ht="24.75" customHeight="1">
      <c r="A69" s="372"/>
      <c r="B69" s="358"/>
      <c r="C69" s="358"/>
      <c r="D69" s="4">
        <v>2021</v>
      </c>
      <c r="E69" s="29">
        <f>F69+G69+J69+K69</f>
        <v>0</v>
      </c>
      <c r="F69" s="29"/>
      <c r="G69" s="30">
        <f>H69+I69</f>
        <v>0</v>
      </c>
      <c r="H69" s="31"/>
      <c r="I69" s="32">
        <v>0</v>
      </c>
      <c r="J69" s="32">
        <v>0</v>
      </c>
      <c r="K69" s="33"/>
      <c r="L69" s="6"/>
      <c r="M69" s="358"/>
    </row>
    <row r="70" spans="1:13" s="77" customFormat="1" ht="24.75" customHeight="1">
      <c r="A70" s="372"/>
      <c r="B70" s="358"/>
      <c r="C70" s="358"/>
      <c r="D70" s="4">
        <v>2022</v>
      </c>
      <c r="E70" s="29">
        <f t="shared" si="16"/>
        <v>0</v>
      </c>
      <c r="F70" s="29"/>
      <c r="G70" s="30">
        <f t="shared" si="17"/>
        <v>0</v>
      </c>
      <c r="H70" s="31"/>
      <c r="I70" s="32">
        <v>0</v>
      </c>
      <c r="J70" s="32">
        <v>0</v>
      </c>
      <c r="K70" s="33"/>
      <c r="L70" s="6" t="s">
        <v>4</v>
      </c>
      <c r="M70" s="358"/>
    </row>
    <row r="71" spans="1:13" s="77" customFormat="1" ht="24.75" customHeight="1">
      <c r="A71" s="372" t="s">
        <v>78</v>
      </c>
      <c r="B71" s="472" t="s">
        <v>79</v>
      </c>
      <c r="C71" s="472"/>
      <c r="D71" s="4">
        <v>2017</v>
      </c>
      <c r="E71" s="25">
        <f t="shared" si="16"/>
        <v>34.265</v>
      </c>
      <c r="F71" s="25"/>
      <c r="G71" s="27">
        <f t="shared" si="17"/>
        <v>0</v>
      </c>
      <c r="H71" s="27"/>
      <c r="I71" s="27">
        <v>0</v>
      </c>
      <c r="J71" s="27">
        <f>100-13.94-51.795</f>
        <v>34.265</v>
      </c>
      <c r="K71" s="34"/>
      <c r="L71" s="6" t="s">
        <v>3</v>
      </c>
      <c r="M71" s="358" t="s">
        <v>55</v>
      </c>
    </row>
    <row r="72" spans="1:13" s="77" customFormat="1" ht="15.75" customHeight="1">
      <c r="A72" s="372"/>
      <c r="B72" s="472"/>
      <c r="C72" s="472"/>
      <c r="D72" s="410">
        <v>2018</v>
      </c>
      <c r="E72" s="414">
        <f>F72+G72+J72+K73</f>
        <v>22.85</v>
      </c>
      <c r="F72" s="414"/>
      <c r="G72" s="428">
        <f t="shared" si="17"/>
        <v>0</v>
      </c>
      <c r="H72" s="428"/>
      <c r="I72" s="428">
        <v>0</v>
      </c>
      <c r="J72" s="428">
        <f>5.5+9.25+8.1</f>
        <v>22.85</v>
      </c>
      <c r="K72" s="433"/>
      <c r="L72" s="376" t="s">
        <v>3</v>
      </c>
      <c r="M72" s="358"/>
    </row>
    <row r="73" spans="1:13" s="77" customFormat="1" ht="13.5" customHeight="1">
      <c r="A73" s="372"/>
      <c r="B73" s="472"/>
      <c r="C73" s="472"/>
      <c r="D73" s="410"/>
      <c r="E73" s="414"/>
      <c r="F73" s="414"/>
      <c r="G73" s="428"/>
      <c r="H73" s="428"/>
      <c r="I73" s="428"/>
      <c r="J73" s="428"/>
      <c r="K73" s="434"/>
      <c r="L73" s="376"/>
      <c r="M73" s="358"/>
    </row>
    <row r="74" spans="1:13" s="77" customFormat="1" ht="37.5" customHeight="1">
      <c r="A74" s="372"/>
      <c r="B74" s="472"/>
      <c r="C74" s="472"/>
      <c r="D74" s="4">
        <v>2019</v>
      </c>
      <c r="E74" s="25">
        <f aca="true" t="shared" si="18" ref="E74:E83">F74+G74+J74+K74</f>
        <v>35.1</v>
      </c>
      <c r="F74" s="27"/>
      <c r="G74" s="27">
        <f aca="true" t="shared" si="19" ref="G74:G83">H74+I74</f>
        <v>0</v>
      </c>
      <c r="H74" s="27"/>
      <c r="I74" s="27">
        <v>0</v>
      </c>
      <c r="J74" s="27">
        <f>22.85+12.25</f>
        <v>35.1</v>
      </c>
      <c r="K74" s="35"/>
      <c r="L74" s="6" t="s">
        <v>3</v>
      </c>
      <c r="M74" s="358"/>
    </row>
    <row r="75" spans="1:13" s="77" customFormat="1" ht="29.25" customHeight="1">
      <c r="A75" s="372"/>
      <c r="B75" s="472"/>
      <c r="C75" s="472"/>
      <c r="D75" s="4">
        <v>2020</v>
      </c>
      <c r="E75" s="25">
        <f>F75+G75+J75+K75</f>
        <v>35.1</v>
      </c>
      <c r="F75" s="27"/>
      <c r="G75" s="27">
        <f>H75+I75</f>
        <v>0</v>
      </c>
      <c r="H75" s="27"/>
      <c r="I75" s="27">
        <v>0</v>
      </c>
      <c r="J75" s="27">
        <v>35.1</v>
      </c>
      <c r="K75" s="35"/>
      <c r="L75" s="6" t="s">
        <v>3</v>
      </c>
      <c r="M75" s="24"/>
    </row>
    <row r="76" spans="1:13" s="77" customFormat="1" ht="29.25" customHeight="1">
      <c r="A76" s="372"/>
      <c r="B76" s="472"/>
      <c r="C76" s="472"/>
      <c r="D76" s="4">
        <v>2021</v>
      </c>
      <c r="E76" s="25">
        <f>F76+G76+J76+K76</f>
        <v>35.1</v>
      </c>
      <c r="F76" s="27"/>
      <c r="G76" s="27">
        <f>H76+I76</f>
        <v>0</v>
      </c>
      <c r="H76" s="27"/>
      <c r="I76" s="27">
        <v>0</v>
      </c>
      <c r="J76" s="27">
        <v>35.1</v>
      </c>
      <c r="K76" s="35"/>
      <c r="L76" s="6"/>
      <c r="M76" s="24"/>
    </row>
    <row r="77" spans="1:13" s="77" customFormat="1" ht="32.25" customHeight="1">
      <c r="A77" s="372"/>
      <c r="B77" s="472"/>
      <c r="C77" s="472"/>
      <c r="D77" s="4">
        <v>2022</v>
      </c>
      <c r="E77" s="25">
        <f t="shared" si="18"/>
        <v>35.1</v>
      </c>
      <c r="F77" s="27"/>
      <c r="G77" s="27">
        <f t="shared" si="19"/>
        <v>0</v>
      </c>
      <c r="H77" s="27"/>
      <c r="I77" s="27">
        <v>0</v>
      </c>
      <c r="J77" s="27">
        <v>35.1</v>
      </c>
      <c r="K77" s="35"/>
      <c r="L77" s="6" t="s">
        <v>3</v>
      </c>
      <c r="M77" s="24"/>
    </row>
    <row r="78" spans="1:13" s="77" customFormat="1" ht="24.75" customHeight="1">
      <c r="A78" s="372" t="s">
        <v>80</v>
      </c>
      <c r="B78" s="292" t="s">
        <v>81</v>
      </c>
      <c r="C78" s="293"/>
      <c r="D78" s="4">
        <v>2017</v>
      </c>
      <c r="E78" s="25">
        <f t="shared" si="18"/>
        <v>65.3997</v>
      </c>
      <c r="F78" s="27"/>
      <c r="G78" s="27">
        <f t="shared" si="19"/>
        <v>0</v>
      </c>
      <c r="H78" s="145"/>
      <c r="I78" s="27">
        <v>0</v>
      </c>
      <c r="J78" s="27">
        <f>70-4.6003</f>
        <v>65.3997</v>
      </c>
      <c r="K78" s="28"/>
      <c r="L78" s="6" t="s">
        <v>5</v>
      </c>
      <c r="M78" s="358" t="s">
        <v>54</v>
      </c>
    </row>
    <row r="79" spans="1:13" s="77" customFormat="1" ht="24.75" customHeight="1">
      <c r="A79" s="372"/>
      <c r="B79" s="519"/>
      <c r="C79" s="520"/>
      <c r="D79" s="4">
        <v>2018</v>
      </c>
      <c r="E79" s="25">
        <f t="shared" si="18"/>
        <v>60</v>
      </c>
      <c r="F79" s="27"/>
      <c r="G79" s="25">
        <f t="shared" si="19"/>
        <v>0</v>
      </c>
      <c r="H79" s="26"/>
      <c r="I79" s="27">
        <v>0</v>
      </c>
      <c r="J79" s="27">
        <v>60</v>
      </c>
      <c r="K79" s="28"/>
      <c r="L79" s="6" t="s">
        <v>5</v>
      </c>
      <c r="M79" s="358"/>
    </row>
    <row r="80" spans="1:13" s="77" customFormat="1" ht="24.75" customHeight="1">
      <c r="A80" s="372"/>
      <c r="B80" s="519"/>
      <c r="C80" s="520"/>
      <c r="D80" s="4">
        <v>2019</v>
      </c>
      <c r="E80" s="25">
        <f t="shared" si="18"/>
        <v>79</v>
      </c>
      <c r="F80" s="27"/>
      <c r="G80" s="25">
        <f t="shared" si="19"/>
        <v>0</v>
      </c>
      <c r="H80" s="26"/>
      <c r="I80" s="27">
        <v>0</v>
      </c>
      <c r="J80" s="27">
        <f>60+19</f>
        <v>79</v>
      </c>
      <c r="K80" s="28"/>
      <c r="L80" s="6" t="s">
        <v>5</v>
      </c>
      <c r="M80" s="358"/>
    </row>
    <row r="81" spans="1:13" s="77" customFormat="1" ht="24.75" customHeight="1">
      <c r="A81" s="372"/>
      <c r="B81" s="519"/>
      <c r="C81" s="520"/>
      <c r="D81" s="4">
        <v>2020</v>
      </c>
      <c r="E81" s="25">
        <f>F81+G81+J81+K81</f>
        <v>60</v>
      </c>
      <c r="F81" s="27"/>
      <c r="G81" s="25">
        <f>H81+I81</f>
        <v>0</v>
      </c>
      <c r="H81" s="26"/>
      <c r="I81" s="27">
        <v>0</v>
      </c>
      <c r="J81" s="27">
        <v>60</v>
      </c>
      <c r="K81" s="28"/>
      <c r="L81" s="6" t="s">
        <v>5</v>
      </c>
      <c r="M81" s="358"/>
    </row>
    <row r="82" spans="1:13" s="77" customFormat="1" ht="24.75" customHeight="1">
      <c r="A82" s="372"/>
      <c r="B82" s="519"/>
      <c r="C82" s="520"/>
      <c r="D82" s="4">
        <v>2021</v>
      </c>
      <c r="E82" s="25">
        <f>F82+G82+J82+K82</f>
        <v>60</v>
      </c>
      <c r="F82" s="27"/>
      <c r="G82" s="25">
        <f>H82+I82</f>
        <v>0</v>
      </c>
      <c r="H82" s="26"/>
      <c r="I82" s="27">
        <v>0</v>
      </c>
      <c r="J82" s="27">
        <v>60</v>
      </c>
      <c r="K82" s="28"/>
      <c r="L82" s="6"/>
      <c r="M82" s="358"/>
    </row>
    <row r="83" spans="1:13" s="77" customFormat="1" ht="24.75" customHeight="1">
      <c r="A83" s="372"/>
      <c r="B83" s="294"/>
      <c r="C83" s="295"/>
      <c r="D83" s="4">
        <v>2022</v>
      </c>
      <c r="E83" s="25">
        <f t="shared" si="18"/>
        <v>60</v>
      </c>
      <c r="F83" s="27"/>
      <c r="G83" s="25">
        <f t="shared" si="19"/>
        <v>0</v>
      </c>
      <c r="H83" s="26"/>
      <c r="I83" s="27">
        <v>0</v>
      </c>
      <c r="J83" s="27">
        <v>60</v>
      </c>
      <c r="K83" s="28"/>
      <c r="L83" s="6" t="s">
        <v>5</v>
      </c>
      <c r="M83" s="358"/>
    </row>
    <row r="84" spans="1:13" s="77" customFormat="1" ht="24.75" customHeight="1">
      <c r="A84" s="372" t="s">
        <v>82</v>
      </c>
      <c r="B84" s="358" t="s">
        <v>83</v>
      </c>
      <c r="C84" s="358"/>
      <c r="D84" s="410">
        <v>2017</v>
      </c>
      <c r="E84" s="414">
        <f>F84+G84+J84+K84</f>
        <v>27.52</v>
      </c>
      <c r="F84" s="428"/>
      <c r="G84" s="517">
        <f>H84+I84</f>
        <v>0</v>
      </c>
      <c r="H84" s="414"/>
      <c r="I84" s="428">
        <v>0</v>
      </c>
      <c r="J84" s="428">
        <v>27.52</v>
      </c>
      <c r="K84" s="515"/>
      <c r="L84" s="376" t="s">
        <v>4</v>
      </c>
      <c r="M84" s="358" t="s">
        <v>53</v>
      </c>
    </row>
    <row r="85" spans="1:13" s="77" customFormat="1" ht="4.5" customHeight="1">
      <c r="A85" s="372"/>
      <c r="B85" s="358"/>
      <c r="C85" s="358"/>
      <c r="D85" s="410"/>
      <c r="E85" s="414"/>
      <c r="F85" s="428"/>
      <c r="G85" s="518"/>
      <c r="H85" s="414"/>
      <c r="I85" s="428"/>
      <c r="J85" s="428"/>
      <c r="K85" s="516"/>
      <c r="L85" s="376"/>
      <c r="M85" s="358"/>
    </row>
    <row r="86" spans="1:13" s="77" customFormat="1" ht="24.75" customHeight="1">
      <c r="A86" s="372"/>
      <c r="B86" s="358"/>
      <c r="C86" s="358"/>
      <c r="D86" s="4">
        <v>2018</v>
      </c>
      <c r="E86" s="25">
        <f aca="true" t="shared" si="20" ref="E86:E96">F86+G86+J86+K86</f>
        <v>28.369999999999997</v>
      </c>
      <c r="F86" s="27"/>
      <c r="G86" s="27">
        <f aca="true" t="shared" si="21" ref="G86:G122">H86+I86</f>
        <v>0</v>
      </c>
      <c r="H86" s="26"/>
      <c r="I86" s="27">
        <v>0</v>
      </c>
      <c r="J86" s="27">
        <f>70-41.63</f>
        <v>28.369999999999997</v>
      </c>
      <c r="K86" s="28"/>
      <c r="L86" s="6" t="s">
        <v>4</v>
      </c>
      <c r="M86" s="358"/>
    </row>
    <row r="87" spans="1:13" s="77" customFormat="1" ht="24.75" customHeight="1">
      <c r="A87" s="372"/>
      <c r="B87" s="358"/>
      <c r="C87" s="358"/>
      <c r="D87" s="4">
        <v>2019</v>
      </c>
      <c r="E87" s="25">
        <f t="shared" si="20"/>
        <v>28.37</v>
      </c>
      <c r="F87" s="27"/>
      <c r="G87" s="27">
        <f t="shared" si="21"/>
        <v>0</v>
      </c>
      <c r="H87" s="26"/>
      <c r="I87" s="27">
        <v>0</v>
      </c>
      <c r="J87" s="27">
        <v>28.37</v>
      </c>
      <c r="K87" s="28"/>
      <c r="L87" s="6" t="s">
        <v>4</v>
      </c>
      <c r="M87" s="358"/>
    </row>
    <row r="88" spans="1:13" s="77" customFormat="1" ht="24.75" customHeight="1">
      <c r="A88" s="372"/>
      <c r="B88" s="358"/>
      <c r="C88" s="358"/>
      <c r="D88" s="4">
        <v>2020</v>
      </c>
      <c r="E88" s="25">
        <f t="shared" si="20"/>
        <v>28.37</v>
      </c>
      <c r="F88" s="27"/>
      <c r="G88" s="27">
        <f t="shared" si="21"/>
        <v>0</v>
      </c>
      <c r="H88" s="26"/>
      <c r="I88" s="27">
        <v>0</v>
      </c>
      <c r="J88" s="27">
        <v>28.37</v>
      </c>
      <c r="K88" s="28"/>
      <c r="L88" s="6" t="s">
        <v>4</v>
      </c>
      <c r="M88" s="358"/>
    </row>
    <row r="89" spans="1:13" s="77" customFormat="1" ht="24.75" customHeight="1">
      <c r="A89" s="372"/>
      <c r="B89" s="358"/>
      <c r="C89" s="358"/>
      <c r="D89" s="4">
        <v>2021</v>
      </c>
      <c r="E89" s="25">
        <f>F89+G89+J89+K89</f>
        <v>28.37</v>
      </c>
      <c r="F89" s="27"/>
      <c r="G89" s="27">
        <f>H89+I89</f>
        <v>0</v>
      </c>
      <c r="H89" s="26"/>
      <c r="I89" s="27">
        <v>0</v>
      </c>
      <c r="J89" s="27">
        <v>28.37</v>
      </c>
      <c r="K89" s="28"/>
      <c r="L89" s="6" t="s">
        <v>4</v>
      </c>
      <c r="M89" s="358"/>
    </row>
    <row r="90" spans="1:13" s="77" customFormat="1" ht="24.75" customHeight="1">
      <c r="A90" s="372"/>
      <c r="B90" s="358"/>
      <c r="C90" s="358"/>
      <c r="D90" s="4">
        <v>2022</v>
      </c>
      <c r="E90" s="25">
        <f t="shared" si="20"/>
        <v>28.37</v>
      </c>
      <c r="F90" s="27"/>
      <c r="G90" s="27">
        <f t="shared" si="21"/>
        <v>0</v>
      </c>
      <c r="H90" s="26"/>
      <c r="I90" s="27">
        <v>0</v>
      </c>
      <c r="J90" s="27">
        <v>28.37</v>
      </c>
      <c r="K90" s="28"/>
      <c r="L90" s="6" t="s">
        <v>4</v>
      </c>
      <c r="M90" s="358"/>
    </row>
    <row r="91" spans="1:13" s="77" customFormat="1" ht="24.75" customHeight="1">
      <c r="A91" s="372" t="s">
        <v>84</v>
      </c>
      <c r="B91" s="509" t="s">
        <v>172</v>
      </c>
      <c r="C91" s="510"/>
      <c r="D91" s="4">
        <v>2017</v>
      </c>
      <c r="E91" s="25">
        <f t="shared" si="20"/>
        <v>50</v>
      </c>
      <c r="F91" s="27"/>
      <c r="G91" s="27">
        <f t="shared" si="21"/>
        <v>50</v>
      </c>
      <c r="H91" s="37"/>
      <c r="I91" s="13">
        <v>50</v>
      </c>
      <c r="J91" s="27">
        <v>0</v>
      </c>
      <c r="K91" s="38"/>
      <c r="L91" s="6" t="s">
        <v>35</v>
      </c>
      <c r="M91" s="334" t="s">
        <v>52</v>
      </c>
    </row>
    <row r="92" spans="1:13" s="77" customFormat="1" ht="24.75" customHeight="1">
      <c r="A92" s="372"/>
      <c r="B92" s="511"/>
      <c r="C92" s="512"/>
      <c r="D92" s="4">
        <v>2018</v>
      </c>
      <c r="E92" s="25">
        <f t="shared" si="20"/>
        <v>0</v>
      </c>
      <c r="F92" s="27"/>
      <c r="G92" s="27">
        <f t="shared" si="21"/>
        <v>0</v>
      </c>
      <c r="H92" s="27"/>
      <c r="I92" s="27">
        <v>0</v>
      </c>
      <c r="J92" s="27">
        <v>0</v>
      </c>
      <c r="K92" s="38"/>
      <c r="L92" s="6"/>
      <c r="M92" s="335"/>
    </row>
    <row r="93" spans="1:13" s="77" customFormat="1" ht="24.75" customHeight="1">
      <c r="A93" s="372"/>
      <c r="B93" s="511"/>
      <c r="C93" s="512"/>
      <c r="D93" s="4">
        <v>2019</v>
      </c>
      <c r="E93" s="25">
        <f t="shared" si="20"/>
        <v>50</v>
      </c>
      <c r="F93" s="27"/>
      <c r="G93" s="27">
        <f t="shared" si="21"/>
        <v>50</v>
      </c>
      <c r="H93" s="27"/>
      <c r="I93" s="27">
        <v>50</v>
      </c>
      <c r="J93" s="27">
        <v>0</v>
      </c>
      <c r="K93" s="38"/>
      <c r="L93" s="6" t="s">
        <v>21</v>
      </c>
      <c r="M93" s="335"/>
    </row>
    <row r="94" spans="1:13" s="77" customFormat="1" ht="24.75" customHeight="1">
      <c r="A94" s="372"/>
      <c r="B94" s="511"/>
      <c r="C94" s="512"/>
      <c r="D94" s="4">
        <v>2020</v>
      </c>
      <c r="E94" s="25">
        <f>F94+G94+J94+K94</f>
        <v>0</v>
      </c>
      <c r="F94" s="27"/>
      <c r="G94" s="27">
        <f>H94+I94</f>
        <v>0</v>
      </c>
      <c r="H94" s="27"/>
      <c r="I94" s="27">
        <v>0</v>
      </c>
      <c r="J94" s="27">
        <v>0</v>
      </c>
      <c r="K94" s="38"/>
      <c r="L94" s="6"/>
      <c r="M94" s="335"/>
    </row>
    <row r="95" spans="1:13" s="77" customFormat="1" ht="24.75" customHeight="1">
      <c r="A95" s="372"/>
      <c r="B95" s="511"/>
      <c r="C95" s="512"/>
      <c r="D95" s="4">
        <v>2021</v>
      </c>
      <c r="E95" s="25">
        <f>F95+G95+J95+K95</f>
        <v>0</v>
      </c>
      <c r="F95" s="27"/>
      <c r="G95" s="27">
        <f>H95+I95</f>
        <v>0</v>
      </c>
      <c r="H95" s="27"/>
      <c r="I95" s="27">
        <v>0</v>
      </c>
      <c r="J95" s="27">
        <v>0</v>
      </c>
      <c r="K95" s="38"/>
      <c r="L95" s="6"/>
      <c r="M95" s="335"/>
    </row>
    <row r="96" spans="1:13" s="77" customFormat="1" ht="24.75" customHeight="1">
      <c r="A96" s="372"/>
      <c r="B96" s="513"/>
      <c r="C96" s="514"/>
      <c r="D96" s="4">
        <v>2022</v>
      </c>
      <c r="E96" s="25">
        <f t="shared" si="20"/>
        <v>0</v>
      </c>
      <c r="F96" s="27"/>
      <c r="G96" s="27">
        <f t="shared" si="21"/>
        <v>0</v>
      </c>
      <c r="H96" s="27"/>
      <c r="I96" s="27">
        <v>0</v>
      </c>
      <c r="J96" s="27">
        <v>0</v>
      </c>
      <c r="K96" s="38"/>
      <c r="L96" s="6"/>
      <c r="M96" s="336"/>
    </row>
    <row r="97" spans="1:13" s="77" customFormat="1" ht="24.75" customHeight="1">
      <c r="A97" s="296" t="s">
        <v>85</v>
      </c>
      <c r="B97" s="286" t="s">
        <v>86</v>
      </c>
      <c r="C97" s="287"/>
      <c r="D97" s="379">
        <v>2017</v>
      </c>
      <c r="E97" s="378">
        <f>F97+G97+J97+K97</f>
        <v>627.047</v>
      </c>
      <c r="F97" s="25"/>
      <c r="G97" s="25">
        <f t="shared" si="21"/>
        <v>0</v>
      </c>
      <c r="H97" s="14">
        <f>H98+H99+H100+H101+H102+H103</f>
        <v>0</v>
      </c>
      <c r="I97" s="25">
        <f>I98+I99+I100+I101+I102+I103</f>
        <v>0</v>
      </c>
      <c r="J97" s="25">
        <f>J98+J99+J100+J101+J102+J103</f>
        <v>627.047</v>
      </c>
      <c r="K97" s="25">
        <f>K98+K99+K100+K101+K102+K103</f>
        <v>0</v>
      </c>
      <c r="L97" s="6"/>
      <c r="M97" s="358" t="s">
        <v>67</v>
      </c>
    </row>
    <row r="98" spans="1:13" s="77" customFormat="1" ht="27" customHeight="1">
      <c r="A98" s="297"/>
      <c r="B98" s="288"/>
      <c r="C98" s="289"/>
      <c r="D98" s="379"/>
      <c r="E98" s="378"/>
      <c r="F98" s="25"/>
      <c r="G98" s="25">
        <f t="shared" si="21"/>
        <v>0</v>
      </c>
      <c r="H98" s="25"/>
      <c r="I98" s="27"/>
      <c r="J98" s="27">
        <f>50+13.94</f>
        <v>63.94</v>
      </c>
      <c r="K98" s="28"/>
      <c r="L98" s="6" t="s">
        <v>175</v>
      </c>
      <c r="M98" s="358"/>
    </row>
    <row r="99" spans="1:13" s="77" customFormat="1" ht="24.75" customHeight="1">
      <c r="A99" s="297"/>
      <c r="B99" s="288"/>
      <c r="C99" s="289"/>
      <c r="D99" s="379"/>
      <c r="E99" s="378"/>
      <c r="F99" s="25"/>
      <c r="G99" s="25">
        <f t="shared" si="21"/>
        <v>0</v>
      </c>
      <c r="H99" s="26"/>
      <c r="I99" s="27"/>
      <c r="J99" s="27">
        <v>113.23</v>
      </c>
      <c r="K99" s="28"/>
      <c r="L99" s="6" t="s">
        <v>15</v>
      </c>
      <c r="M99" s="358"/>
    </row>
    <row r="100" spans="1:13" s="77" customFormat="1" ht="24.75" customHeight="1">
      <c r="A100" s="297"/>
      <c r="B100" s="288"/>
      <c r="C100" s="289"/>
      <c r="D100" s="379"/>
      <c r="E100" s="378"/>
      <c r="F100" s="25"/>
      <c r="G100" s="25">
        <f t="shared" si="21"/>
        <v>0</v>
      </c>
      <c r="H100" s="26"/>
      <c r="I100" s="27"/>
      <c r="J100" s="27">
        <v>205.427</v>
      </c>
      <c r="K100" s="28"/>
      <c r="L100" s="6" t="s">
        <v>23</v>
      </c>
      <c r="M100" s="358"/>
    </row>
    <row r="101" spans="1:13" s="77" customFormat="1" ht="24.75" customHeight="1">
      <c r="A101" s="297"/>
      <c r="B101" s="288"/>
      <c r="C101" s="289"/>
      <c r="D101" s="379"/>
      <c r="E101" s="378"/>
      <c r="F101" s="25"/>
      <c r="G101" s="25">
        <f t="shared" si="21"/>
        <v>0</v>
      </c>
      <c r="H101" s="26"/>
      <c r="I101" s="27"/>
      <c r="J101" s="27">
        <v>13.23</v>
      </c>
      <c r="K101" s="28"/>
      <c r="L101" s="6" t="s">
        <v>12</v>
      </c>
      <c r="M101" s="358"/>
    </row>
    <row r="102" spans="1:13" s="77" customFormat="1" ht="24.75" customHeight="1">
      <c r="A102" s="297"/>
      <c r="B102" s="288"/>
      <c r="C102" s="289"/>
      <c r="D102" s="379"/>
      <c r="E102" s="378"/>
      <c r="F102" s="25"/>
      <c r="G102" s="25">
        <f t="shared" si="21"/>
        <v>0</v>
      </c>
      <c r="H102" s="26"/>
      <c r="I102" s="27"/>
      <c r="J102" s="27">
        <v>161.09</v>
      </c>
      <c r="K102" s="28"/>
      <c r="L102" s="6" t="s">
        <v>24</v>
      </c>
      <c r="M102" s="358"/>
    </row>
    <row r="103" spans="1:13" s="77" customFormat="1" ht="24.75" customHeight="1">
      <c r="A103" s="297"/>
      <c r="B103" s="288"/>
      <c r="C103" s="289"/>
      <c r="D103" s="379"/>
      <c r="E103" s="378"/>
      <c r="F103" s="25"/>
      <c r="G103" s="25">
        <f t="shared" si="21"/>
        <v>0</v>
      </c>
      <c r="H103" s="26"/>
      <c r="I103" s="27"/>
      <c r="J103" s="27">
        <f>15.18+18+36.45+0.5</f>
        <v>70.13</v>
      </c>
      <c r="K103" s="28"/>
      <c r="L103" s="6" t="s">
        <v>25</v>
      </c>
      <c r="M103" s="358"/>
    </row>
    <row r="104" spans="1:13" s="77" customFormat="1" ht="24.75" customHeight="1">
      <c r="A104" s="297"/>
      <c r="B104" s="288"/>
      <c r="C104" s="289"/>
      <c r="D104" s="379">
        <v>2018</v>
      </c>
      <c r="E104" s="378">
        <f>F104+G104+J104+K104</f>
        <v>2781.9159799999998</v>
      </c>
      <c r="F104" s="11"/>
      <c r="G104" s="11">
        <f t="shared" si="21"/>
        <v>0</v>
      </c>
      <c r="H104" s="11">
        <f>H105+H106+H107+H108+H109+H110+H111</f>
        <v>0</v>
      </c>
      <c r="I104" s="11">
        <f>I105+I106+I107+I108+I109+I110+I111</f>
        <v>0</v>
      </c>
      <c r="J104" s="11">
        <f>J105+J106+J107+J108+J109+J110+J111</f>
        <v>2781.9159799999998</v>
      </c>
      <c r="K104" s="11">
        <f>K105+K106+K107+K108+K109+K110+K111</f>
        <v>0</v>
      </c>
      <c r="L104" s="6"/>
      <c r="M104" s="358"/>
    </row>
    <row r="105" spans="1:13" s="77" customFormat="1" ht="26.25" customHeight="1">
      <c r="A105" s="297"/>
      <c r="B105" s="288"/>
      <c r="C105" s="289"/>
      <c r="D105" s="379"/>
      <c r="E105" s="378"/>
      <c r="F105" s="11"/>
      <c r="G105" s="2">
        <f t="shared" si="21"/>
        <v>0</v>
      </c>
      <c r="H105" s="11"/>
      <c r="I105" s="2"/>
      <c r="J105" s="2">
        <v>0</v>
      </c>
      <c r="K105" s="12"/>
      <c r="L105" s="6" t="s">
        <v>175</v>
      </c>
      <c r="M105" s="358"/>
    </row>
    <row r="106" spans="1:13" s="77" customFormat="1" ht="24.75" customHeight="1">
      <c r="A106" s="297"/>
      <c r="B106" s="288"/>
      <c r="C106" s="289"/>
      <c r="D106" s="379"/>
      <c r="E106" s="378"/>
      <c r="F106" s="11"/>
      <c r="G106" s="2">
        <f t="shared" si="21"/>
        <v>0</v>
      </c>
      <c r="H106" s="11"/>
      <c r="I106" s="2"/>
      <c r="J106" s="2">
        <f>12.64+1186-181.18-36.69771</f>
        <v>980.76229</v>
      </c>
      <c r="K106" s="12"/>
      <c r="L106" s="6" t="s">
        <v>15</v>
      </c>
      <c r="M106" s="358"/>
    </row>
    <row r="107" spans="1:13" s="77" customFormat="1" ht="24.75" customHeight="1">
      <c r="A107" s="297"/>
      <c r="B107" s="288"/>
      <c r="C107" s="289"/>
      <c r="D107" s="379"/>
      <c r="E107" s="378"/>
      <c r="F107" s="11"/>
      <c r="G107" s="2">
        <f t="shared" si="21"/>
        <v>0</v>
      </c>
      <c r="H107" s="11"/>
      <c r="I107" s="2"/>
      <c r="J107" s="2">
        <f>12.64+445+788.79-277.21131</f>
        <v>969.2186899999998</v>
      </c>
      <c r="K107" s="12"/>
      <c r="L107" s="6" t="s">
        <v>23</v>
      </c>
      <c r="M107" s="358"/>
    </row>
    <row r="108" spans="1:13" s="77" customFormat="1" ht="24.75" customHeight="1">
      <c r="A108" s="297"/>
      <c r="B108" s="288"/>
      <c r="C108" s="289"/>
      <c r="D108" s="379"/>
      <c r="E108" s="378"/>
      <c r="F108" s="11"/>
      <c r="G108" s="2">
        <f t="shared" si="21"/>
        <v>0</v>
      </c>
      <c r="H108" s="11"/>
      <c r="I108" s="2"/>
      <c r="J108" s="2">
        <f>12.64+437.6-55.429</f>
        <v>394.81100000000004</v>
      </c>
      <c r="K108" s="12"/>
      <c r="L108" s="6" t="s">
        <v>12</v>
      </c>
      <c r="M108" s="358"/>
    </row>
    <row r="109" spans="1:13" s="77" customFormat="1" ht="24.75" customHeight="1">
      <c r="A109" s="297"/>
      <c r="B109" s="288"/>
      <c r="C109" s="289"/>
      <c r="D109" s="379"/>
      <c r="E109" s="378"/>
      <c r="F109" s="11"/>
      <c r="G109" s="2">
        <f t="shared" si="21"/>
        <v>0</v>
      </c>
      <c r="H109" s="11"/>
      <c r="I109" s="2"/>
      <c r="J109" s="2">
        <f>30.36+107+120+26.184</f>
        <v>283.54400000000004</v>
      </c>
      <c r="K109" s="12"/>
      <c r="L109" s="6" t="s">
        <v>24</v>
      </c>
      <c r="M109" s="358"/>
    </row>
    <row r="110" spans="1:13" s="77" customFormat="1" ht="24.75" customHeight="1">
      <c r="A110" s="297"/>
      <c r="B110" s="288"/>
      <c r="C110" s="289"/>
      <c r="D110" s="379"/>
      <c r="E110" s="378"/>
      <c r="F110" s="11"/>
      <c r="G110" s="2">
        <f t="shared" si="21"/>
        <v>0</v>
      </c>
      <c r="H110" s="11"/>
      <c r="I110" s="2"/>
      <c r="J110" s="2">
        <f>15.18+165-26.6</f>
        <v>153.58</v>
      </c>
      <c r="K110" s="12"/>
      <c r="L110" s="6" t="s">
        <v>25</v>
      </c>
      <c r="M110" s="358"/>
    </row>
    <row r="111" spans="1:13" s="77" customFormat="1" ht="24.75" customHeight="1">
      <c r="A111" s="297"/>
      <c r="B111" s="288"/>
      <c r="C111" s="289"/>
      <c r="D111" s="379"/>
      <c r="E111" s="378"/>
      <c r="F111" s="11"/>
      <c r="G111" s="2">
        <f t="shared" si="21"/>
        <v>0</v>
      </c>
      <c r="H111" s="11"/>
      <c r="I111" s="2"/>
      <c r="J111" s="2">
        <v>0</v>
      </c>
      <c r="K111" s="12"/>
      <c r="L111" s="6" t="s">
        <v>48</v>
      </c>
      <c r="M111" s="358"/>
    </row>
    <row r="112" spans="1:13" s="77" customFormat="1" ht="24.75" customHeight="1">
      <c r="A112" s="297"/>
      <c r="B112" s="288"/>
      <c r="C112" s="289"/>
      <c r="D112" s="379">
        <v>2019</v>
      </c>
      <c r="E112" s="378">
        <f>F112+G112+J112+K112</f>
        <v>387.68000000000006</v>
      </c>
      <c r="F112" s="11">
        <f aca="true" t="shared" si="22" ref="F112:K112">SUM(F113:F119)</f>
        <v>0</v>
      </c>
      <c r="G112" s="11">
        <f t="shared" si="22"/>
        <v>0</v>
      </c>
      <c r="H112" s="11">
        <f t="shared" si="22"/>
        <v>0</v>
      </c>
      <c r="I112" s="11">
        <f t="shared" si="22"/>
        <v>0</v>
      </c>
      <c r="J112" s="11">
        <f t="shared" si="22"/>
        <v>387.68000000000006</v>
      </c>
      <c r="K112" s="11">
        <f t="shared" si="22"/>
        <v>0</v>
      </c>
      <c r="L112" s="6"/>
      <c r="M112" s="358"/>
    </row>
    <row r="113" spans="1:13" s="77" customFormat="1" ht="24.75" customHeight="1">
      <c r="A113" s="297"/>
      <c r="B113" s="288"/>
      <c r="C113" s="289"/>
      <c r="D113" s="379"/>
      <c r="E113" s="378"/>
      <c r="F113" s="11"/>
      <c r="G113" s="2">
        <f aca="true" t="shared" si="23" ref="G113:G119">H113+I113</f>
        <v>0</v>
      </c>
      <c r="H113" s="11"/>
      <c r="I113" s="2"/>
      <c r="J113" s="2">
        <v>0</v>
      </c>
      <c r="K113" s="12"/>
      <c r="L113" s="6" t="s">
        <v>175</v>
      </c>
      <c r="M113" s="358"/>
    </row>
    <row r="114" spans="1:13" s="77" customFormat="1" ht="24.75" customHeight="1">
      <c r="A114" s="297"/>
      <c r="B114" s="288"/>
      <c r="C114" s="289"/>
      <c r="D114" s="379"/>
      <c r="E114" s="378"/>
      <c r="F114" s="11"/>
      <c r="G114" s="2">
        <f t="shared" si="23"/>
        <v>0</v>
      </c>
      <c r="H114" s="11"/>
      <c r="I114" s="2"/>
      <c r="J114" s="2">
        <v>12.64</v>
      </c>
      <c r="K114" s="12"/>
      <c r="L114" s="6" t="s">
        <v>15</v>
      </c>
      <c r="M114" s="358"/>
    </row>
    <row r="115" spans="1:13" s="77" customFormat="1" ht="24.75" customHeight="1">
      <c r="A115" s="297"/>
      <c r="B115" s="288"/>
      <c r="C115" s="289"/>
      <c r="D115" s="379"/>
      <c r="E115" s="378"/>
      <c r="F115" s="11"/>
      <c r="G115" s="2">
        <f t="shared" si="23"/>
        <v>0</v>
      </c>
      <c r="H115" s="11"/>
      <c r="I115" s="2"/>
      <c r="J115" s="2">
        <v>12.64</v>
      </c>
      <c r="K115" s="12"/>
      <c r="L115" s="6" t="s">
        <v>23</v>
      </c>
      <c r="M115" s="358"/>
    </row>
    <row r="116" spans="1:13" s="77" customFormat="1" ht="24.75" customHeight="1">
      <c r="A116" s="297"/>
      <c r="B116" s="288"/>
      <c r="C116" s="289"/>
      <c r="D116" s="379"/>
      <c r="E116" s="378"/>
      <c r="F116" s="11"/>
      <c r="G116" s="2">
        <f t="shared" si="23"/>
        <v>0</v>
      </c>
      <c r="H116" s="11"/>
      <c r="I116" s="2"/>
      <c r="J116" s="2">
        <f>12.64+100</f>
        <v>112.64</v>
      </c>
      <c r="K116" s="12"/>
      <c r="L116" s="6" t="s">
        <v>12</v>
      </c>
      <c r="M116" s="358"/>
    </row>
    <row r="117" spans="1:13" s="77" customFormat="1" ht="24.75" customHeight="1">
      <c r="A117" s="297"/>
      <c r="B117" s="288"/>
      <c r="C117" s="289"/>
      <c r="D117" s="379"/>
      <c r="E117" s="378"/>
      <c r="F117" s="11"/>
      <c r="G117" s="2">
        <f t="shared" si="23"/>
        <v>0</v>
      </c>
      <c r="H117" s="11"/>
      <c r="I117" s="2"/>
      <c r="J117" s="2">
        <v>0</v>
      </c>
      <c r="K117" s="12"/>
      <c r="L117" s="6" t="s">
        <v>180</v>
      </c>
      <c r="M117" s="358"/>
    </row>
    <row r="118" spans="1:13" s="77" customFormat="1" ht="24.75" customHeight="1">
      <c r="A118" s="297"/>
      <c r="B118" s="288"/>
      <c r="C118" s="289"/>
      <c r="D118" s="379"/>
      <c r="E118" s="378"/>
      <c r="F118" s="11"/>
      <c r="G118" s="2">
        <f t="shared" si="23"/>
        <v>0</v>
      </c>
      <c r="H118" s="11"/>
      <c r="I118" s="2"/>
      <c r="J118" s="2">
        <f>30.36+100</f>
        <v>130.36</v>
      </c>
      <c r="K118" s="12"/>
      <c r="L118" s="6" t="s">
        <v>24</v>
      </c>
      <c r="M118" s="358"/>
    </row>
    <row r="119" spans="1:13" s="77" customFormat="1" ht="24.75" customHeight="1" thickBot="1">
      <c r="A119" s="297"/>
      <c r="B119" s="288"/>
      <c r="C119" s="289"/>
      <c r="D119" s="379"/>
      <c r="E119" s="378"/>
      <c r="F119" s="133"/>
      <c r="G119" s="58">
        <f t="shared" si="23"/>
        <v>0</v>
      </c>
      <c r="H119" s="133"/>
      <c r="I119" s="58"/>
      <c r="J119" s="58">
        <f>15.18+16.731+100-12.511</f>
        <v>119.4</v>
      </c>
      <c r="K119" s="134"/>
      <c r="L119" s="6" t="s">
        <v>25</v>
      </c>
      <c r="M119" s="358"/>
    </row>
    <row r="120" spans="1:13" s="77" customFormat="1" ht="26.25" customHeight="1" thickBot="1">
      <c r="A120" s="297"/>
      <c r="B120" s="288"/>
      <c r="C120" s="289"/>
      <c r="D120" s="379">
        <v>2020</v>
      </c>
      <c r="E120" s="377">
        <f>F120+G120+J120+K120</f>
        <v>155.12</v>
      </c>
      <c r="F120" s="137">
        <f aca="true" t="shared" si="24" ref="F120:K120">SUM(F122:F127)</f>
        <v>0</v>
      </c>
      <c r="G120" s="142">
        <f t="shared" si="24"/>
        <v>0</v>
      </c>
      <c r="H120" s="142">
        <f t="shared" si="24"/>
        <v>0</v>
      </c>
      <c r="I120" s="142">
        <f t="shared" si="24"/>
        <v>0</v>
      </c>
      <c r="J120" s="142">
        <f t="shared" si="24"/>
        <v>155.12</v>
      </c>
      <c r="K120" s="144">
        <f t="shared" si="24"/>
        <v>0</v>
      </c>
      <c r="L120" s="221"/>
      <c r="M120" s="358"/>
    </row>
    <row r="121" spans="1:13" s="77" customFormat="1" ht="21.75" customHeight="1">
      <c r="A121" s="297"/>
      <c r="B121" s="288"/>
      <c r="C121" s="289"/>
      <c r="D121" s="379"/>
      <c r="E121" s="378"/>
      <c r="F121" s="70"/>
      <c r="G121" s="135">
        <f t="shared" si="21"/>
        <v>0</v>
      </c>
      <c r="H121" s="70"/>
      <c r="I121" s="135"/>
      <c r="J121" s="135">
        <v>0</v>
      </c>
      <c r="K121" s="136"/>
      <c r="L121" s="6" t="s">
        <v>175</v>
      </c>
      <c r="M121" s="358"/>
    </row>
    <row r="122" spans="1:13" s="77" customFormat="1" ht="24.75" customHeight="1">
      <c r="A122" s="297"/>
      <c r="B122" s="288"/>
      <c r="C122" s="289"/>
      <c r="D122" s="379"/>
      <c r="E122" s="378"/>
      <c r="F122" s="11"/>
      <c r="G122" s="2">
        <f t="shared" si="21"/>
        <v>0</v>
      </c>
      <c r="H122" s="11"/>
      <c r="I122" s="2"/>
      <c r="J122" s="2">
        <v>29.64</v>
      </c>
      <c r="K122" s="12"/>
      <c r="L122" s="6" t="s">
        <v>15</v>
      </c>
      <c r="M122" s="358"/>
    </row>
    <row r="123" spans="1:13" s="77" customFormat="1" ht="24.75" customHeight="1">
      <c r="A123" s="297"/>
      <c r="B123" s="288"/>
      <c r="C123" s="289"/>
      <c r="D123" s="379"/>
      <c r="E123" s="378"/>
      <c r="F123" s="11"/>
      <c r="G123" s="2">
        <f>H123+I123</f>
        <v>0</v>
      </c>
      <c r="H123" s="11"/>
      <c r="I123" s="2"/>
      <c r="J123" s="2">
        <v>29.64</v>
      </c>
      <c r="K123" s="12"/>
      <c r="L123" s="6" t="s">
        <v>23</v>
      </c>
      <c r="M123" s="358"/>
    </row>
    <row r="124" spans="1:13" s="77" customFormat="1" ht="24.75" customHeight="1">
      <c r="A124" s="297"/>
      <c r="B124" s="288"/>
      <c r="C124" s="289"/>
      <c r="D124" s="379"/>
      <c r="E124" s="378"/>
      <c r="F124" s="11"/>
      <c r="G124" s="2">
        <f>H124+I124</f>
        <v>0</v>
      </c>
      <c r="H124" s="11"/>
      <c r="I124" s="2"/>
      <c r="J124" s="2">
        <v>29.64</v>
      </c>
      <c r="K124" s="12"/>
      <c r="L124" s="6" t="s">
        <v>12</v>
      </c>
      <c r="M124" s="358"/>
    </row>
    <row r="125" spans="1:13" s="77" customFormat="1" ht="24.75" customHeight="1">
      <c r="A125" s="297"/>
      <c r="B125" s="288"/>
      <c r="C125" s="289"/>
      <c r="D125" s="379"/>
      <c r="E125" s="378"/>
      <c r="F125" s="11"/>
      <c r="G125" s="2">
        <f>H125+I125</f>
        <v>0</v>
      </c>
      <c r="H125" s="11"/>
      <c r="I125" s="2"/>
      <c r="J125" s="2">
        <v>0</v>
      </c>
      <c r="K125" s="12"/>
      <c r="L125" s="6" t="s">
        <v>180</v>
      </c>
      <c r="M125" s="358"/>
    </row>
    <row r="126" spans="1:13" s="77" customFormat="1" ht="24.75" customHeight="1">
      <c r="A126" s="297"/>
      <c r="B126" s="288"/>
      <c r="C126" s="289"/>
      <c r="D126" s="379"/>
      <c r="E126" s="378"/>
      <c r="F126" s="11"/>
      <c r="G126" s="2">
        <f>H126+I126</f>
        <v>0</v>
      </c>
      <c r="H126" s="11"/>
      <c r="I126" s="2"/>
      <c r="J126" s="2">
        <v>33.6</v>
      </c>
      <c r="K126" s="12"/>
      <c r="L126" s="6" t="s">
        <v>24</v>
      </c>
      <c r="M126" s="358"/>
    </row>
    <row r="127" spans="1:13" s="77" customFormat="1" ht="24.75" customHeight="1" thickBot="1">
      <c r="A127" s="297"/>
      <c r="B127" s="288"/>
      <c r="C127" s="289"/>
      <c r="D127" s="379"/>
      <c r="E127" s="378"/>
      <c r="F127" s="133"/>
      <c r="G127" s="58">
        <f>H127+I127</f>
        <v>0</v>
      </c>
      <c r="H127" s="133"/>
      <c r="I127" s="58"/>
      <c r="J127" s="58">
        <v>32.6</v>
      </c>
      <c r="K127" s="134"/>
      <c r="L127" s="124" t="s">
        <v>25</v>
      </c>
      <c r="M127" s="358"/>
    </row>
    <row r="128" spans="1:13" s="77" customFormat="1" ht="24.75" customHeight="1" thickBot="1">
      <c r="A128" s="297"/>
      <c r="B128" s="288"/>
      <c r="C128" s="289"/>
      <c r="D128" s="379">
        <v>2021</v>
      </c>
      <c r="E128" s="377">
        <f>F128+G128+J128+K128</f>
        <v>155.12</v>
      </c>
      <c r="F128" s="142">
        <f>SUM(F129:F135)</f>
        <v>0</v>
      </c>
      <c r="G128" s="142">
        <f>SUM(G129:G135)</f>
        <v>0</v>
      </c>
      <c r="H128" s="142">
        <f>SUM(H129:H135)</f>
        <v>0</v>
      </c>
      <c r="I128" s="142">
        <f>SUM(I129:I135)</f>
        <v>0</v>
      </c>
      <c r="J128" s="142">
        <f>SUM(J129:J135)</f>
        <v>155.12</v>
      </c>
      <c r="K128" s="143"/>
      <c r="L128" s="222"/>
      <c r="M128" s="521"/>
    </row>
    <row r="129" spans="1:13" s="77" customFormat="1" ht="24.75" customHeight="1">
      <c r="A129" s="297"/>
      <c r="B129" s="288"/>
      <c r="C129" s="289"/>
      <c r="D129" s="379"/>
      <c r="E129" s="378"/>
      <c r="F129" s="70"/>
      <c r="G129" s="135"/>
      <c r="H129" s="70"/>
      <c r="I129" s="135"/>
      <c r="J129" s="135">
        <v>0</v>
      </c>
      <c r="K129" s="136"/>
      <c r="L129" s="125" t="s">
        <v>175</v>
      </c>
      <c r="M129" s="358"/>
    </row>
    <row r="130" spans="1:13" s="77" customFormat="1" ht="24.75" customHeight="1">
      <c r="A130" s="297"/>
      <c r="B130" s="288"/>
      <c r="C130" s="289"/>
      <c r="D130" s="379"/>
      <c r="E130" s="378"/>
      <c r="F130" s="11"/>
      <c r="G130" s="2"/>
      <c r="H130" s="11"/>
      <c r="I130" s="2"/>
      <c r="J130" s="2">
        <v>29.64</v>
      </c>
      <c r="K130" s="12"/>
      <c r="L130" s="6" t="s">
        <v>15</v>
      </c>
      <c r="M130" s="358"/>
    </row>
    <row r="131" spans="1:13" s="77" customFormat="1" ht="24.75" customHeight="1">
      <c r="A131" s="297"/>
      <c r="B131" s="288"/>
      <c r="C131" s="289"/>
      <c r="D131" s="379"/>
      <c r="E131" s="378"/>
      <c r="F131" s="11"/>
      <c r="G131" s="2"/>
      <c r="H131" s="11"/>
      <c r="I131" s="2"/>
      <c r="J131" s="2">
        <v>29.64</v>
      </c>
      <c r="K131" s="12"/>
      <c r="L131" s="6" t="s">
        <v>23</v>
      </c>
      <c r="M131" s="358"/>
    </row>
    <row r="132" spans="1:13" s="77" customFormat="1" ht="24.75" customHeight="1">
      <c r="A132" s="297"/>
      <c r="B132" s="288"/>
      <c r="C132" s="289"/>
      <c r="D132" s="379"/>
      <c r="E132" s="378"/>
      <c r="F132" s="11"/>
      <c r="G132" s="2"/>
      <c r="H132" s="11"/>
      <c r="I132" s="2"/>
      <c r="J132" s="2">
        <v>29.64</v>
      </c>
      <c r="K132" s="12"/>
      <c r="L132" s="6" t="s">
        <v>12</v>
      </c>
      <c r="M132" s="358"/>
    </row>
    <row r="133" spans="1:13" s="77" customFormat="1" ht="24.75" customHeight="1">
      <c r="A133" s="297"/>
      <c r="B133" s="288"/>
      <c r="C133" s="289"/>
      <c r="D133" s="379"/>
      <c r="E133" s="378"/>
      <c r="F133" s="2"/>
      <c r="G133" s="2"/>
      <c r="H133" s="11"/>
      <c r="I133" s="2"/>
      <c r="J133" s="2">
        <v>0</v>
      </c>
      <c r="K133" s="12"/>
      <c r="L133" s="6" t="s">
        <v>180</v>
      </c>
      <c r="M133" s="358"/>
    </row>
    <row r="134" spans="1:13" s="77" customFormat="1" ht="24.75" customHeight="1">
      <c r="A134" s="297"/>
      <c r="B134" s="288"/>
      <c r="C134" s="289"/>
      <c r="D134" s="379"/>
      <c r="E134" s="378"/>
      <c r="F134" s="11"/>
      <c r="G134" s="2"/>
      <c r="H134" s="11"/>
      <c r="I134" s="2"/>
      <c r="J134" s="2">
        <v>33.6</v>
      </c>
      <c r="K134" s="12"/>
      <c r="L134" s="6" t="s">
        <v>24</v>
      </c>
      <c r="M134" s="358"/>
    </row>
    <row r="135" spans="1:13" s="77" customFormat="1" ht="24.75" customHeight="1" thickBot="1">
      <c r="A135" s="297"/>
      <c r="B135" s="288"/>
      <c r="C135" s="289"/>
      <c r="D135" s="379"/>
      <c r="E135" s="378"/>
      <c r="F135" s="133"/>
      <c r="G135" s="58"/>
      <c r="H135" s="133"/>
      <c r="I135" s="58"/>
      <c r="J135" s="58">
        <v>32.6</v>
      </c>
      <c r="K135" s="134"/>
      <c r="L135" s="124" t="s">
        <v>25</v>
      </c>
      <c r="M135" s="358"/>
    </row>
    <row r="136" spans="1:13" s="77" customFormat="1" ht="24.75" customHeight="1" thickBot="1">
      <c r="A136" s="297"/>
      <c r="B136" s="288"/>
      <c r="C136" s="289"/>
      <c r="D136" s="480">
        <v>2022</v>
      </c>
      <c r="E136" s="377">
        <f>F136+G136+J136+K136</f>
        <v>155.12</v>
      </c>
      <c r="F136" s="142">
        <f>SUM(F137:F143)</f>
        <v>0</v>
      </c>
      <c r="G136" s="142">
        <f>SUM(G137:G143)</f>
        <v>0</v>
      </c>
      <c r="H136" s="142">
        <f>SUM(H137:H143)</f>
        <v>0</v>
      </c>
      <c r="I136" s="142">
        <f>SUM(I137:I143)</f>
        <v>0</v>
      </c>
      <c r="J136" s="142">
        <f>SUM(J137:J143)</f>
        <v>155.12</v>
      </c>
      <c r="K136" s="143"/>
      <c r="L136" s="222"/>
      <c r="M136" s="521"/>
    </row>
    <row r="137" spans="1:13" s="77" customFormat="1" ht="24.75" customHeight="1">
      <c r="A137" s="297"/>
      <c r="B137" s="288"/>
      <c r="C137" s="289"/>
      <c r="D137" s="491"/>
      <c r="E137" s="378"/>
      <c r="F137" s="70"/>
      <c r="G137" s="135"/>
      <c r="H137" s="70"/>
      <c r="I137" s="135"/>
      <c r="J137" s="135">
        <v>0</v>
      </c>
      <c r="K137" s="136"/>
      <c r="L137" s="125" t="s">
        <v>175</v>
      </c>
      <c r="M137" s="358"/>
    </row>
    <row r="138" spans="1:13" s="77" customFormat="1" ht="24.75" customHeight="1">
      <c r="A138" s="297"/>
      <c r="B138" s="288"/>
      <c r="C138" s="289"/>
      <c r="D138" s="491"/>
      <c r="E138" s="378"/>
      <c r="F138" s="11"/>
      <c r="G138" s="2"/>
      <c r="H138" s="11"/>
      <c r="I138" s="2"/>
      <c r="J138" s="2">
        <v>29.64</v>
      </c>
      <c r="K138" s="12"/>
      <c r="L138" s="6" t="s">
        <v>15</v>
      </c>
      <c r="M138" s="358"/>
    </row>
    <row r="139" spans="1:13" s="77" customFormat="1" ht="24.75" customHeight="1">
      <c r="A139" s="297"/>
      <c r="B139" s="288"/>
      <c r="C139" s="289"/>
      <c r="D139" s="491"/>
      <c r="E139" s="378"/>
      <c r="F139" s="11"/>
      <c r="G139" s="2"/>
      <c r="H139" s="11"/>
      <c r="I139" s="2"/>
      <c r="J139" s="2">
        <v>29.64</v>
      </c>
      <c r="K139" s="12"/>
      <c r="L139" s="6" t="s">
        <v>23</v>
      </c>
      <c r="M139" s="358"/>
    </row>
    <row r="140" spans="1:13" s="77" customFormat="1" ht="24.75" customHeight="1">
      <c r="A140" s="297"/>
      <c r="B140" s="288"/>
      <c r="C140" s="289"/>
      <c r="D140" s="491"/>
      <c r="E140" s="378"/>
      <c r="F140" s="11"/>
      <c r="G140" s="2"/>
      <c r="H140" s="11"/>
      <c r="I140" s="2"/>
      <c r="J140" s="2">
        <v>29.64</v>
      </c>
      <c r="K140" s="12"/>
      <c r="L140" s="6" t="s">
        <v>12</v>
      </c>
      <c r="M140" s="358"/>
    </row>
    <row r="141" spans="1:13" s="77" customFormat="1" ht="24.75" customHeight="1">
      <c r="A141" s="297"/>
      <c r="B141" s="288"/>
      <c r="C141" s="289"/>
      <c r="D141" s="491"/>
      <c r="E141" s="378"/>
      <c r="F141" s="11"/>
      <c r="G141" s="2"/>
      <c r="H141" s="11"/>
      <c r="I141" s="2"/>
      <c r="J141" s="2">
        <v>0</v>
      </c>
      <c r="K141" s="12"/>
      <c r="L141" s="6" t="s">
        <v>180</v>
      </c>
      <c r="M141" s="358"/>
    </row>
    <row r="142" spans="1:13" s="77" customFormat="1" ht="24.75" customHeight="1">
      <c r="A142" s="297"/>
      <c r="B142" s="288"/>
      <c r="C142" s="289"/>
      <c r="D142" s="491"/>
      <c r="E142" s="378"/>
      <c r="F142" s="11"/>
      <c r="G142" s="2"/>
      <c r="H142" s="11"/>
      <c r="I142" s="2"/>
      <c r="J142" s="2">
        <v>33.6</v>
      </c>
      <c r="K142" s="12"/>
      <c r="L142" s="6" t="s">
        <v>24</v>
      </c>
      <c r="M142" s="358"/>
    </row>
    <row r="143" spans="1:13" s="77" customFormat="1" ht="24.75" customHeight="1" thickBot="1">
      <c r="A143" s="297"/>
      <c r="B143" s="290"/>
      <c r="C143" s="291"/>
      <c r="D143" s="492"/>
      <c r="E143" s="378"/>
      <c r="F143" s="133"/>
      <c r="G143" s="58"/>
      <c r="H143" s="133"/>
      <c r="I143" s="58"/>
      <c r="J143" s="58">
        <v>32.6</v>
      </c>
      <c r="K143" s="134"/>
      <c r="L143" s="6" t="s">
        <v>25</v>
      </c>
      <c r="M143" s="358"/>
    </row>
    <row r="144" spans="1:13" s="77" customFormat="1" ht="27.75" customHeight="1" thickBot="1">
      <c r="A144" s="435" t="s">
        <v>87</v>
      </c>
      <c r="B144" s="382" t="s">
        <v>132</v>
      </c>
      <c r="C144" s="383"/>
      <c r="D144" s="480">
        <v>2019</v>
      </c>
      <c r="E144" s="377">
        <f>F144+G144+J144+K144</f>
        <v>47.04</v>
      </c>
      <c r="F144" s="137">
        <f>SUM(F145:F150)</f>
        <v>0</v>
      </c>
      <c r="G144" s="138">
        <f>H144+I144</f>
        <v>0</v>
      </c>
      <c r="H144" s="142">
        <f>SUM(H145:H150)</f>
        <v>0</v>
      </c>
      <c r="I144" s="142">
        <f>SUM(I145:I150)</f>
        <v>0</v>
      </c>
      <c r="J144" s="142">
        <f>SUM(J145:J150)</f>
        <v>47.04</v>
      </c>
      <c r="K144" s="143"/>
      <c r="L144" s="221"/>
      <c r="M144" s="358"/>
    </row>
    <row r="145" spans="1:13" s="77" customFormat="1" ht="24.75" customHeight="1">
      <c r="A145" s="436"/>
      <c r="B145" s="384"/>
      <c r="C145" s="385"/>
      <c r="D145" s="491"/>
      <c r="E145" s="378"/>
      <c r="F145" s="70"/>
      <c r="G145" s="135">
        <f aca="true" t="shared" si="25" ref="G145:G166">H145+I145</f>
        <v>0</v>
      </c>
      <c r="H145" s="70"/>
      <c r="I145" s="135"/>
      <c r="J145" s="135">
        <v>4.5</v>
      </c>
      <c r="K145" s="136"/>
      <c r="L145" s="6" t="s">
        <v>133</v>
      </c>
      <c r="M145" s="358"/>
    </row>
    <row r="146" spans="1:13" s="77" customFormat="1" ht="24.75" customHeight="1">
      <c r="A146" s="436"/>
      <c r="B146" s="384"/>
      <c r="C146" s="385"/>
      <c r="D146" s="491"/>
      <c r="E146" s="378"/>
      <c r="F146" s="11"/>
      <c r="G146" s="2">
        <f t="shared" si="25"/>
        <v>0</v>
      </c>
      <c r="H146" s="11"/>
      <c r="I146" s="2"/>
      <c r="J146" s="2">
        <v>6</v>
      </c>
      <c r="K146" s="12"/>
      <c r="L146" s="6" t="s">
        <v>134</v>
      </c>
      <c r="M146" s="358"/>
    </row>
    <row r="147" spans="1:13" s="77" customFormat="1" ht="24.75" customHeight="1">
      <c r="A147" s="436"/>
      <c r="B147" s="384"/>
      <c r="C147" s="385"/>
      <c r="D147" s="491"/>
      <c r="E147" s="378"/>
      <c r="F147" s="11"/>
      <c r="G147" s="2">
        <f t="shared" si="25"/>
        <v>0</v>
      </c>
      <c r="H147" s="11"/>
      <c r="I147" s="2"/>
      <c r="J147" s="2">
        <v>4.5</v>
      </c>
      <c r="K147" s="12"/>
      <c r="L147" s="6" t="s">
        <v>135</v>
      </c>
      <c r="M147" s="358"/>
    </row>
    <row r="148" spans="1:13" s="77" customFormat="1" ht="24.75" customHeight="1">
      <c r="A148" s="436"/>
      <c r="B148" s="384"/>
      <c r="C148" s="385"/>
      <c r="D148" s="491"/>
      <c r="E148" s="378"/>
      <c r="F148" s="11"/>
      <c r="G148" s="2">
        <f t="shared" si="25"/>
        <v>0</v>
      </c>
      <c r="H148" s="11"/>
      <c r="I148" s="2"/>
      <c r="J148" s="2">
        <v>20.04</v>
      </c>
      <c r="K148" s="12"/>
      <c r="L148" s="6" t="s">
        <v>48</v>
      </c>
      <c r="M148" s="358"/>
    </row>
    <row r="149" spans="1:13" s="77" customFormat="1" ht="24.75" customHeight="1">
      <c r="A149" s="436"/>
      <c r="B149" s="384"/>
      <c r="C149" s="385"/>
      <c r="D149" s="491"/>
      <c r="E149" s="378"/>
      <c r="F149" s="11"/>
      <c r="G149" s="2">
        <f t="shared" si="25"/>
        <v>0</v>
      </c>
      <c r="H149" s="11"/>
      <c r="I149" s="2"/>
      <c r="J149" s="2">
        <v>12</v>
      </c>
      <c r="K149" s="12"/>
      <c r="L149" s="6" t="s">
        <v>3</v>
      </c>
      <c r="M149" s="358"/>
    </row>
    <row r="150" spans="1:13" s="77" customFormat="1" ht="24.75" customHeight="1" thickBot="1">
      <c r="A150" s="436"/>
      <c r="B150" s="384"/>
      <c r="C150" s="385"/>
      <c r="D150" s="492"/>
      <c r="E150" s="378"/>
      <c r="F150" s="133"/>
      <c r="G150" s="58">
        <f t="shared" si="25"/>
        <v>0</v>
      </c>
      <c r="H150" s="133"/>
      <c r="I150" s="58"/>
      <c r="J150" s="58">
        <v>0</v>
      </c>
      <c r="K150" s="134"/>
      <c r="L150" s="6"/>
      <c r="M150" s="358"/>
    </row>
    <row r="151" spans="1:13" s="77" customFormat="1" ht="24.75" customHeight="1" thickBot="1">
      <c r="A151" s="436"/>
      <c r="B151" s="384"/>
      <c r="C151" s="385"/>
      <c r="D151" s="379">
        <v>2020</v>
      </c>
      <c r="E151" s="377">
        <f>F151+G151+J151+K151</f>
        <v>47.04</v>
      </c>
      <c r="F151" s="140"/>
      <c r="G151" s="75">
        <f t="shared" si="25"/>
        <v>0</v>
      </c>
      <c r="H151" s="75">
        <f>H152+H153+H154+H155+H157+H158</f>
        <v>0</v>
      </c>
      <c r="I151" s="75">
        <f>I152+I153+I154+I155+I157+I158</f>
        <v>0</v>
      </c>
      <c r="J151" s="75">
        <f>SUM(J152:J158)</f>
        <v>47.04</v>
      </c>
      <c r="K151" s="141">
        <f>K152+K153+K154+K155+K157+K158</f>
        <v>0</v>
      </c>
      <c r="L151" s="221"/>
      <c r="M151" s="358"/>
    </row>
    <row r="152" spans="1:13" s="77" customFormat="1" ht="36.75" customHeight="1">
      <c r="A152" s="436"/>
      <c r="B152" s="384"/>
      <c r="C152" s="385"/>
      <c r="D152" s="379"/>
      <c r="E152" s="378"/>
      <c r="F152" s="139"/>
      <c r="G152" s="139">
        <f t="shared" si="25"/>
        <v>0</v>
      </c>
      <c r="H152" s="139"/>
      <c r="I152" s="123"/>
      <c r="J152" s="123">
        <v>12</v>
      </c>
      <c r="K152" s="122"/>
      <c r="L152" s="6" t="s">
        <v>175</v>
      </c>
      <c r="M152" s="358"/>
    </row>
    <row r="153" spans="1:13" s="77" customFormat="1" ht="24.75" customHeight="1">
      <c r="A153" s="436"/>
      <c r="B153" s="384"/>
      <c r="C153" s="385"/>
      <c r="D153" s="379"/>
      <c r="E153" s="378"/>
      <c r="F153" s="25"/>
      <c r="G153" s="25">
        <f t="shared" si="25"/>
        <v>0</v>
      </c>
      <c r="H153" s="25"/>
      <c r="I153" s="27"/>
      <c r="J153" s="27">
        <v>4.5</v>
      </c>
      <c r="K153" s="36"/>
      <c r="L153" s="6" t="s">
        <v>15</v>
      </c>
      <c r="M153" s="358"/>
    </row>
    <row r="154" spans="1:13" s="77" customFormat="1" ht="24.75" customHeight="1">
      <c r="A154" s="436"/>
      <c r="B154" s="384"/>
      <c r="C154" s="385"/>
      <c r="D154" s="379"/>
      <c r="E154" s="378"/>
      <c r="F154" s="25"/>
      <c r="G154" s="25">
        <f t="shared" si="25"/>
        <v>0</v>
      </c>
      <c r="H154" s="25"/>
      <c r="I154" s="27"/>
      <c r="J154" s="27">
        <v>6</v>
      </c>
      <c r="K154" s="36"/>
      <c r="L154" s="6" t="s">
        <v>23</v>
      </c>
      <c r="M154" s="358"/>
    </row>
    <row r="155" spans="1:13" s="77" customFormat="1" ht="24.75" customHeight="1">
      <c r="A155" s="436"/>
      <c r="B155" s="384"/>
      <c r="C155" s="385"/>
      <c r="D155" s="379"/>
      <c r="E155" s="378"/>
      <c r="F155" s="25"/>
      <c r="G155" s="25">
        <f t="shared" si="25"/>
        <v>0</v>
      </c>
      <c r="H155" s="25"/>
      <c r="I155" s="27"/>
      <c r="J155" s="27">
        <v>4.5</v>
      </c>
      <c r="K155" s="36"/>
      <c r="L155" s="6" t="s">
        <v>12</v>
      </c>
      <c r="M155" s="358"/>
    </row>
    <row r="156" spans="1:13" s="77" customFormat="1" ht="24.75" customHeight="1">
      <c r="A156" s="436"/>
      <c r="B156" s="384"/>
      <c r="C156" s="385"/>
      <c r="D156" s="379"/>
      <c r="E156" s="378"/>
      <c r="F156" s="25"/>
      <c r="G156" s="25">
        <f t="shared" si="25"/>
        <v>0</v>
      </c>
      <c r="H156" s="25"/>
      <c r="I156" s="27"/>
      <c r="J156" s="2">
        <v>20.04</v>
      </c>
      <c r="K156" s="12"/>
      <c r="L156" s="6" t="s">
        <v>48</v>
      </c>
      <c r="M156" s="358"/>
    </row>
    <row r="157" spans="1:13" s="77" customFormat="1" ht="24.75" customHeight="1">
      <c r="A157" s="436"/>
      <c r="B157" s="384"/>
      <c r="C157" s="385"/>
      <c r="D157" s="379"/>
      <c r="E157" s="378"/>
      <c r="F157" s="25"/>
      <c r="G157" s="25">
        <f t="shared" si="25"/>
        <v>0</v>
      </c>
      <c r="H157" s="25"/>
      <c r="I157" s="27"/>
      <c r="J157" s="27">
        <v>0</v>
      </c>
      <c r="K157" s="36"/>
      <c r="L157" s="6" t="s">
        <v>24</v>
      </c>
      <c r="M157" s="358"/>
    </row>
    <row r="158" spans="1:13" s="77" customFormat="1" ht="24.75" customHeight="1" thickBot="1">
      <c r="A158" s="436"/>
      <c r="B158" s="384"/>
      <c r="C158" s="385"/>
      <c r="D158" s="379"/>
      <c r="E158" s="378"/>
      <c r="F158" s="107"/>
      <c r="G158" s="107">
        <f t="shared" si="25"/>
        <v>0</v>
      </c>
      <c r="H158" s="107"/>
      <c r="I158" s="73"/>
      <c r="J158" s="73">
        <v>0</v>
      </c>
      <c r="K158" s="121"/>
      <c r="L158" s="124" t="s">
        <v>25</v>
      </c>
      <c r="M158" s="358"/>
    </row>
    <row r="159" spans="1:13" s="77" customFormat="1" ht="24.75" customHeight="1" thickBot="1">
      <c r="A159" s="436"/>
      <c r="B159" s="384"/>
      <c r="C159" s="385"/>
      <c r="D159" s="379">
        <v>2021</v>
      </c>
      <c r="E159" s="377">
        <f>F159+G159+J159+K159</f>
        <v>47.04</v>
      </c>
      <c r="F159" s="140"/>
      <c r="G159" s="75">
        <f t="shared" si="25"/>
        <v>0</v>
      </c>
      <c r="H159" s="75">
        <f>H160+H161+H162+H163+H165+H166</f>
        <v>0</v>
      </c>
      <c r="I159" s="75">
        <f>I160+I161+I162+I163+I165+I166</f>
        <v>0</v>
      </c>
      <c r="J159" s="75">
        <f>SUM(J160:J166)</f>
        <v>47.04</v>
      </c>
      <c r="K159" s="75">
        <f>K160+K161+K162+K163+K165+K166</f>
        <v>0</v>
      </c>
      <c r="L159" s="223"/>
      <c r="M159" s="521"/>
    </row>
    <row r="160" spans="1:13" s="77" customFormat="1" ht="36" customHeight="1">
      <c r="A160" s="436"/>
      <c r="B160" s="384"/>
      <c r="C160" s="385"/>
      <c r="D160" s="379"/>
      <c r="E160" s="378"/>
      <c r="F160" s="139"/>
      <c r="G160" s="139">
        <f t="shared" si="25"/>
        <v>0</v>
      </c>
      <c r="H160" s="139"/>
      <c r="I160" s="123"/>
      <c r="J160" s="123">
        <v>12</v>
      </c>
      <c r="K160" s="122"/>
      <c r="L160" s="125" t="s">
        <v>175</v>
      </c>
      <c r="M160" s="358"/>
    </row>
    <row r="161" spans="1:13" s="77" customFormat="1" ht="24.75" customHeight="1">
      <c r="A161" s="436"/>
      <c r="B161" s="384"/>
      <c r="C161" s="385"/>
      <c r="D161" s="379"/>
      <c r="E161" s="378"/>
      <c r="F161" s="25"/>
      <c r="G161" s="25">
        <f t="shared" si="25"/>
        <v>0</v>
      </c>
      <c r="H161" s="25"/>
      <c r="I161" s="27"/>
      <c r="J161" s="27">
        <v>4.5</v>
      </c>
      <c r="K161" s="36"/>
      <c r="L161" s="6" t="s">
        <v>15</v>
      </c>
      <c r="M161" s="358"/>
    </row>
    <row r="162" spans="1:13" s="77" customFormat="1" ht="24.75" customHeight="1">
      <c r="A162" s="436"/>
      <c r="B162" s="384"/>
      <c r="C162" s="385"/>
      <c r="D162" s="379"/>
      <c r="E162" s="378"/>
      <c r="F162" s="25"/>
      <c r="G162" s="25">
        <f t="shared" si="25"/>
        <v>0</v>
      </c>
      <c r="H162" s="25"/>
      <c r="I162" s="27"/>
      <c r="J162" s="27">
        <v>6</v>
      </c>
      <c r="K162" s="36"/>
      <c r="L162" s="6" t="s">
        <v>23</v>
      </c>
      <c r="M162" s="358"/>
    </row>
    <row r="163" spans="1:13" s="77" customFormat="1" ht="24.75" customHeight="1">
      <c r="A163" s="436"/>
      <c r="B163" s="384"/>
      <c r="C163" s="385"/>
      <c r="D163" s="379"/>
      <c r="E163" s="378"/>
      <c r="F163" s="25"/>
      <c r="G163" s="25">
        <f t="shared" si="25"/>
        <v>0</v>
      </c>
      <c r="H163" s="25"/>
      <c r="I163" s="27"/>
      <c r="J163" s="27">
        <v>4.5</v>
      </c>
      <c r="K163" s="36"/>
      <c r="L163" s="6" t="s">
        <v>12</v>
      </c>
      <c r="M163" s="358"/>
    </row>
    <row r="164" spans="1:13" s="77" customFormat="1" ht="24.75" customHeight="1">
      <c r="A164" s="436"/>
      <c r="B164" s="384"/>
      <c r="C164" s="385"/>
      <c r="D164" s="379"/>
      <c r="E164" s="378"/>
      <c r="F164" s="25"/>
      <c r="G164" s="25">
        <f t="shared" si="25"/>
        <v>0</v>
      </c>
      <c r="H164" s="25"/>
      <c r="I164" s="27"/>
      <c r="J164" s="27">
        <v>20.04</v>
      </c>
      <c r="K164" s="36"/>
      <c r="L164" s="6" t="s">
        <v>48</v>
      </c>
      <c r="M164" s="358"/>
    </row>
    <row r="165" spans="1:13" s="77" customFormat="1" ht="24.75" customHeight="1">
      <c r="A165" s="436"/>
      <c r="B165" s="384"/>
      <c r="C165" s="385"/>
      <c r="D165" s="379"/>
      <c r="E165" s="378"/>
      <c r="F165" s="25"/>
      <c r="G165" s="25">
        <f t="shared" si="25"/>
        <v>0</v>
      </c>
      <c r="H165" s="25"/>
      <c r="I165" s="27"/>
      <c r="J165" s="27">
        <v>0</v>
      </c>
      <c r="K165" s="36"/>
      <c r="L165" s="6" t="s">
        <v>24</v>
      </c>
      <c r="M165" s="358"/>
    </row>
    <row r="166" spans="1:13" s="77" customFormat="1" ht="24.75" customHeight="1" thickBot="1">
      <c r="A166" s="436"/>
      <c r="B166" s="384"/>
      <c r="C166" s="385"/>
      <c r="D166" s="379"/>
      <c r="E166" s="378"/>
      <c r="F166" s="107"/>
      <c r="G166" s="107">
        <f t="shared" si="25"/>
        <v>0</v>
      </c>
      <c r="H166" s="107"/>
      <c r="I166" s="73"/>
      <c r="J166" s="73">
        <v>0</v>
      </c>
      <c r="K166" s="121"/>
      <c r="L166" s="6" t="s">
        <v>25</v>
      </c>
      <c r="M166" s="358"/>
    </row>
    <row r="167" spans="1:13" s="77" customFormat="1" ht="24" customHeight="1" thickBot="1">
      <c r="A167" s="436"/>
      <c r="B167" s="384"/>
      <c r="C167" s="385"/>
      <c r="D167" s="480">
        <v>2022</v>
      </c>
      <c r="E167" s="377">
        <f>F167+G167+J167+K167</f>
        <v>47.04</v>
      </c>
      <c r="F167" s="140"/>
      <c r="G167" s="75">
        <f>SUM(G168:G174)</f>
        <v>0</v>
      </c>
      <c r="H167" s="75">
        <f>SUM(H168:H174)</f>
        <v>0</v>
      </c>
      <c r="I167" s="75">
        <f>SUM(I168:I174)</f>
        <v>0</v>
      </c>
      <c r="J167" s="75">
        <f>SUM(J168:J174)</f>
        <v>47.04</v>
      </c>
      <c r="K167" s="75">
        <f>SUM(K168:K174)</f>
        <v>0</v>
      </c>
      <c r="L167" s="221"/>
      <c r="M167" s="24"/>
    </row>
    <row r="168" spans="1:13" s="77" customFormat="1" ht="36" customHeight="1">
      <c r="A168" s="436"/>
      <c r="B168" s="384"/>
      <c r="C168" s="385"/>
      <c r="D168" s="491"/>
      <c r="E168" s="378"/>
      <c r="F168" s="139"/>
      <c r="G168" s="139"/>
      <c r="H168" s="139"/>
      <c r="I168" s="123"/>
      <c r="J168" s="123">
        <v>12</v>
      </c>
      <c r="K168" s="122"/>
      <c r="L168" s="6" t="s">
        <v>175</v>
      </c>
      <c r="M168" s="24"/>
    </row>
    <row r="169" spans="1:13" s="77" customFormat="1" ht="24.75" customHeight="1">
      <c r="A169" s="436"/>
      <c r="B169" s="384"/>
      <c r="C169" s="385"/>
      <c r="D169" s="491"/>
      <c r="E169" s="378"/>
      <c r="F169" s="25"/>
      <c r="G169" s="25"/>
      <c r="H169" s="25"/>
      <c r="I169" s="27"/>
      <c r="J169" s="27">
        <v>4.5</v>
      </c>
      <c r="K169" s="36"/>
      <c r="L169" s="6" t="s">
        <v>15</v>
      </c>
      <c r="M169" s="24"/>
    </row>
    <row r="170" spans="1:13" s="77" customFormat="1" ht="24.75" customHeight="1">
      <c r="A170" s="436"/>
      <c r="B170" s="384"/>
      <c r="C170" s="385"/>
      <c r="D170" s="491"/>
      <c r="E170" s="378"/>
      <c r="F170" s="25"/>
      <c r="G170" s="25"/>
      <c r="H170" s="25"/>
      <c r="I170" s="27"/>
      <c r="J170" s="27">
        <v>6</v>
      </c>
      <c r="K170" s="36"/>
      <c r="L170" s="6" t="s">
        <v>23</v>
      </c>
      <c r="M170" s="24"/>
    </row>
    <row r="171" spans="1:13" s="77" customFormat="1" ht="24.75" customHeight="1">
      <c r="A171" s="436"/>
      <c r="B171" s="384"/>
      <c r="C171" s="385"/>
      <c r="D171" s="491"/>
      <c r="E171" s="378"/>
      <c r="F171" s="25"/>
      <c r="G171" s="25"/>
      <c r="H171" s="25"/>
      <c r="I171" s="27"/>
      <c r="J171" s="27">
        <v>4.5</v>
      </c>
      <c r="K171" s="36"/>
      <c r="L171" s="6" t="s">
        <v>12</v>
      </c>
      <c r="M171" s="24"/>
    </row>
    <row r="172" spans="1:13" s="77" customFormat="1" ht="24.75" customHeight="1">
      <c r="A172" s="436"/>
      <c r="B172" s="384"/>
      <c r="C172" s="385"/>
      <c r="D172" s="491"/>
      <c r="E172" s="378"/>
      <c r="F172" s="25"/>
      <c r="G172" s="25"/>
      <c r="H172" s="25"/>
      <c r="I172" s="27"/>
      <c r="J172" s="27">
        <v>20.04</v>
      </c>
      <c r="K172" s="36"/>
      <c r="L172" s="6" t="s">
        <v>48</v>
      </c>
      <c r="M172" s="24"/>
    </row>
    <row r="173" spans="1:13" s="77" customFormat="1" ht="24.75" customHeight="1">
      <c r="A173" s="436"/>
      <c r="B173" s="384"/>
      <c r="C173" s="385"/>
      <c r="D173" s="491"/>
      <c r="E173" s="378"/>
      <c r="F173" s="25"/>
      <c r="G173" s="25"/>
      <c r="H173" s="25"/>
      <c r="I173" s="27"/>
      <c r="J173" s="27">
        <v>0</v>
      </c>
      <c r="K173" s="36"/>
      <c r="L173" s="6" t="s">
        <v>24</v>
      </c>
      <c r="M173" s="24"/>
    </row>
    <row r="174" spans="1:13" s="77" customFormat="1" ht="24.75" customHeight="1">
      <c r="A174" s="437"/>
      <c r="B174" s="386"/>
      <c r="C174" s="387"/>
      <c r="D174" s="492"/>
      <c r="E174" s="378"/>
      <c r="F174" s="25"/>
      <c r="G174" s="25"/>
      <c r="H174" s="25"/>
      <c r="I174" s="27"/>
      <c r="J174" s="27">
        <v>0</v>
      </c>
      <c r="K174" s="36"/>
      <c r="L174" s="6" t="s">
        <v>25</v>
      </c>
      <c r="M174" s="24"/>
    </row>
    <row r="175" spans="1:13" s="77" customFormat="1" ht="24.75" customHeight="1">
      <c r="A175" s="504" t="s">
        <v>255</v>
      </c>
      <c r="B175" s="358" t="s">
        <v>225</v>
      </c>
      <c r="C175" s="358"/>
      <c r="D175" s="43">
        <v>2017</v>
      </c>
      <c r="E175" s="25">
        <f aca="true" t="shared" si="26" ref="E175:E182">F175+G175+J175+K175</f>
        <v>169.78</v>
      </c>
      <c r="F175" s="25"/>
      <c r="G175" s="25">
        <f aca="true" t="shared" si="27" ref="G175:G182">H175+I175</f>
        <v>155.2</v>
      </c>
      <c r="H175" s="25"/>
      <c r="I175" s="25">
        <v>155.2</v>
      </c>
      <c r="J175" s="25">
        <f>15-0.42</f>
        <v>14.58</v>
      </c>
      <c r="K175" s="36"/>
      <c r="L175" s="6" t="s">
        <v>50</v>
      </c>
      <c r="M175" s="358" t="s">
        <v>59</v>
      </c>
    </row>
    <row r="176" spans="1:13" s="77" customFormat="1" ht="24.75" customHeight="1">
      <c r="A176" s="504"/>
      <c r="B176" s="358"/>
      <c r="C176" s="358"/>
      <c r="D176" s="43">
        <v>2018</v>
      </c>
      <c r="E176" s="25">
        <f t="shared" si="26"/>
        <v>162.2</v>
      </c>
      <c r="F176" s="25"/>
      <c r="G176" s="25">
        <f t="shared" si="27"/>
        <v>162.2</v>
      </c>
      <c r="H176" s="25"/>
      <c r="I176" s="25">
        <v>162.2</v>
      </c>
      <c r="J176" s="27"/>
      <c r="K176" s="36"/>
      <c r="L176" s="6" t="s">
        <v>50</v>
      </c>
      <c r="M176" s="358"/>
    </row>
    <row r="177" spans="1:13" s="77" customFormat="1" ht="24.75" customHeight="1">
      <c r="A177" s="504"/>
      <c r="B177" s="358"/>
      <c r="C177" s="358"/>
      <c r="D177" s="43">
        <v>2019</v>
      </c>
      <c r="E177" s="25">
        <f t="shared" si="26"/>
        <v>481.1</v>
      </c>
      <c r="F177" s="25"/>
      <c r="G177" s="25">
        <f t="shared" si="27"/>
        <v>481.1</v>
      </c>
      <c r="H177" s="25"/>
      <c r="I177" s="25">
        <v>481.1</v>
      </c>
      <c r="J177" s="27"/>
      <c r="K177" s="36"/>
      <c r="L177" s="6" t="s">
        <v>50</v>
      </c>
      <c r="M177" s="358"/>
    </row>
    <row r="178" spans="1:13" s="77" customFormat="1" ht="24.75" customHeight="1">
      <c r="A178" s="504"/>
      <c r="B178" s="358"/>
      <c r="C178" s="358"/>
      <c r="D178" s="43">
        <v>2020</v>
      </c>
      <c r="E178" s="25">
        <f>F178+G178+J178+K178</f>
        <v>163.2</v>
      </c>
      <c r="F178" s="25"/>
      <c r="G178" s="25">
        <f t="shared" si="27"/>
        <v>163.2</v>
      </c>
      <c r="H178" s="25"/>
      <c r="I178" s="25">
        <v>163.2</v>
      </c>
      <c r="J178" s="27"/>
      <c r="K178" s="36"/>
      <c r="L178" s="6" t="s">
        <v>50</v>
      </c>
      <c r="M178" s="358"/>
    </row>
    <row r="179" spans="1:13" s="77" customFormat="1" ht="24.75" customHeight="1">
      <c r="A179" s="504"/>
      <c r="B179" s="358"/>
      <c r="C179" s="358"/>
      <c r="D179" s="43">
        <v>2021</v>
      </c>
      <c r="E179" s="25">
        <f>F179+G179+J179+K179</f>
        <v>163.2</v>
      </c>
      <c r="F179" s="25"/>
      <c r="G179" s="25">
        <f>H179+I179</f>
        <v>163.2</v>
      </c>
      <c r="H179" s="25"/>
      <c r="I179" s="25">
        <v>163.2</v>
      </c>
      <c r="J179" s="27"/>
      <c r="K179" s="36"/>
      <c r="L179" s="6" t="s">
        <v>50</v>
      </c>
      <c r="M179" s="358"/>
    </row>
    <row r="180" spans="1:13" s="77" customFormat="1" ht="24.75" customHeight="1">
      <c r="A180" s="504"/>
      <c r="B180" s="358"/>
      <c r="C180" s="358"/>
      <c r="D180" s="43">
        <v>2022</v>
      </c>
      <c r="E180" s="25">
        <f t="shared" si="26"/>
        <v>163.2</v>
      </c>
      <c r="F180" s="25"/>
      <c r="G180" s="25">
        <f t="shared" si="27"/>
        <v>163.2</v>
      </c>
      <c r="H180" s="25"/>
      <c r="I180" s="25">
        <v>163.2</v>
      </c>
      <c r="J180" s="27"/>
      <c r="K180" s="36"/>
      <c r="L180" s="6" t="s">
        <v>50</v>
      </c>
      <c r="M180" s="358"/>
    </row>
    <row r="181" spans="1:13" s="77" customFormat="1" ht="79.5" customHeight="1">
      <c r="A181" s="127" t="s">
        <v>256</v>
      </c>
      <c r="B181" s="360" t="s">
        <v>224</v>
      </c>
      <c r="C181" s="360"/>
      <c r="D181" s="43">
        <v>2019</v>
      </c>
      <c r="E181" s="25">
        <f>F181+G181+J181+K181</f>
        <v>96.58</v>
      </c>
      <c r="F181" s="25"/>
      <c r="G181" s="25">
        <f>H181+I181</f>
        <v>0</v>
      </c>
      <c r="H181" s="25"/>
      <c r="I181" s="25"/>
      <c r="J181" s="25">
        <v>96.58</v>
      </c>
      <c r="K181" s="36"/>
      <c r="L181" s="6" t="s">
        <v>186</v>
      </c>
      <c r="M181" s="24"/>
    </row>
    <row r="182" spans="1:13" s="77" customFormat="1" ht="71.25" customHeight="1" thickBot="1">
      <c r="A182" s="82" t="s">
        <v>120</v>
      </c>
      <c r="B182" s="358" t="s">
        <v>88</v>
      </c>
      <c r="C182" s="358"/>
      <c r="D182" s="43">
        <v>2017</v>
      </c>
      <c r="E182" s="107">
        <f t="shared" si="26"/>
        <v>2375.768</v>
      </c>
      <c r="F182" s="25"/>
      <c r="G182" s="25">
        <f t="shared" si="27"/>
        <v>0</v>
      </c>
      <c r="H182" s="74"/>
      <c r="I182" s="74"/>
      <c r="J182" s="25">
        <v>2375.768</v>
      </c>
      <c r="K182" s="36"/>
      <c r="L182" s="124" t="s">
        <v>41</v>
      </c>
      <c r="M182" s="24" t="s">
        <v>65</v>
      </c>
    </row>
    <row r="183" spans="1:13" s="89" customFormat="1" ht="46.5" customHeight="1" thickBot="1">
      <c r="A183" s="259" t="s">
        <v>257</v>
      </c>
      <c r="B183" s="349" t="s">
        <v>162</v>
      </c>
      <c r="C183" s="349"/>
      <c r="D183" s="195">
        <v>2019</v>
      </c>
      <c r="E183" s="196">
        <f>F183+G183+J183+K183</f>
        <v>330</v>
      </c>
      <c r="F183" s="197"/>
      <c r="G183" s="198">
        <f>H183+I183</f>
        <v>0</v>
      </c>
      <c r="H183" s="198">
        <v>0</v>
      </c>
      <c r="I183" s="198">
        <v>0</v>
      </c>
      <c r="J183" s="198">
        <f>330.278-0.278</f>
        <v>330</v>
      </c>
      <c r="K183" s="199"/>
      <c r="L183" s="200" t="s">
        <v>167</v>
      </c>
      <c r="M183" s="108"/>
    </row>
    <row r="184" spans="1:13" s="110" customFormat="1" ht="38.25" customHeight="1" hidden="1" thickBot="1">
      <c r="A184" s="88" t="s">
        <v>173</v>
      </c>
      <c r="B184" s="500"/>
      <c r="C184" s="501"/>
      <c r="D184" s="4"/>
      <c r="E184" s="27"/>
      <c r="F184" s="25"/>
      <c r="G184" s="27"/>
      <c r="H184" s="27"/>
      <c r="I184" s="27"/>
      <c r="J184" s="27"/>
      <c r="K184" s="36"/>
      <c r="L184" s="6"/>
      <c r="M184" s="227"/>
    </row>
    <row r="185" spans="1:13" s="110" customFormat="1" ht="91.5" customHeight="1" thickBot="1">
      <c r="A185" s="260" t="s">
        <v>296</v>
      </c>
      <c r="B185" s="349" t="s">
        <v>179</v>
      </c>
      <c r="C185" s="349"/>
      <c r="D185" s="185">
        <v>2019</v>
      </c>
      <c r="E185" s="114">
        <f>F185+G185+J185+K185</f>
        <v>80.293</v>
      </c>
      <c r="F185" s="202"/>
      <c r="G185" s="115">
        <f>H185+I185</f>
        <v>0</v>
      </c>
      <c r="H185" s="115">
        <v>0</v>
      </c>
      <c r="I185" s="123">
        <v>0</v>
      </c>
      <c r="J185" s="123">
        <f>19+61.293</f>
        <v>80.293</v>
      </c>
      <c r="K185" s="122">
        <v>0</v>
      </c>
      <c r="L185" s="116" t="s">
        <v>3</v>
      </c>
      <c r="M185" s="117" t="s">
        <v>178</v>
      </c>
    </row>
    <row r="186" spans="1:13" s="110" customFormat="1" ht="352.5" customHeight="1" thickBot="1">
      <c r="A186" s="118" t="s">
        <v>297</v>
      </c>
      <c r="B186" s="349" t="s">
        <v>239</v>
      </c>
      <c r="C186" s="349"/>
      <c r="D186" s="250">
        <v>2019</v>
      </c>
      <c r="E186" s="27">
        <f>F186+G186+J186+K186</f>
        <v>0</v>
      </c>
      <c r="F186" s="25"/>
      <c r="G186" s="27">
        <f>H186+I186</f>
        <v>0</v>
      </c>
      <c r="H186" s="27">
        <v>0</v>
      </c>
      <c r="I186" s="27">
        <v>0</v>
      </c>
      <c r="J186" s="27">
        <v>0</v>
      </c>
      <c r="K186" s="36">
        <v>0</v>
      </c>
      <c r="L186" s="125" t="s">
        <v>174</v>
      </c>
      <c r="M186" s="251" t="s">
        <v>240</v>
      </c>
    </row>
    <row r="187" spans="1:13" s="77" customFormat="1" ht="34.5" customHeight="1">
      <c r="A187" s="505"/>
      <c r="B187" s="502" t="s">
        <v>32</v>
      </c>
      <c r="C187" s="502"/>
      <c r="D187" s="203">
        <v>2017</v>
      </c>
      <c r="E187" s="139">
        <f>F187+G187+J187+K187</f>
        <v>3516.3419999999996</v>
      </c>
      <c r="F187" s="152">
        <v>0</v>
      </c>
      <c r="G187" s="139">
        <f>H187+I187</f>
        <v>205.2</v>
      </c>
      <c r="H187" s="139">
        <f>H175+H97+H91+H84+H71+H65+H56+H50</f>
        <v>0</v>
      </c>
      <c r="I187" s="139">
        <f>I175+I97+I91+I84+I71+I65+I56+I50</f>
        <v>205.2</v>
      </c>
      <c r="J187" s="139">
        <f>J50+J56+J65+J71+J78+J84+J97+J175+J182</f>
        <v>3311.142</v>
      </c>
      <c r="K187" s="122">
        <v>0</v>
      </c>
      <c r="L187" s="224"/>
      <c r="M187" s="476"/>
    </row>
    <row r="188" spans="1:13" s="77" customFormat="1" ht="32.25" customHeight="1">
      <c r="A188" s="402"/>
      <c r="B188" s="503"/>
      <c r="C188" s="503"/>
      <c r="D188" s="44">
        <v>2018</v>
      </c>
      <c r="E188" s="25">
        <f aca="true" t="shared" si="28" ref="E188:J188">E57+E66+E72+E79+E86+E92+E104+E176</f>
        <v>3449.7360099999996</v>
      </c>
      <c r="F188" s="25">
        <f t="shared" si="28"/>
        <v>0</v>
      </c>
      <c r="G188" s="25">
        <f t="shared" si="28"/>
        <v>162.2</v>
      </c>
      <c r="H188" s="25">
        <f t="shared" si="28"/>
        <v>0</v>
      </c>
      <c r="I188" s="25">
        <f t="shared" si="28"/>
        <v>162.2</v>
      </c>
      <c r="J188" s="25">
        <f t="shared" si="28"/>
        <v>3287.53601</v>
      </c>
      <c r="K188" s="36">
        <v>0</v>
      </c>
      <c r="L188" s="225"/>
      <c r="M188" s="476"/>
    </row>
    <row r="189" spans="1:13" s="77" customFormat="1" ht="32.25" customHeight="1">
      <c r="A189" s="402"/>
      <c r="B189" s="503"/>
      <c r="C189" s="503"/>
      <c r="D189" s="44">
        <v>2019</v>
      </c>
      <c r="E189" s="25">
        <f>E53+E58+E62+E74+E80+E87+E93+E112+E144+E177+E183+E184+E185+E64+E181</f>
        <v>1852.0430000000001</v>
      </c>
      <c r="F189" s="25">
        <f>F53+F58+F62+F74+F80+F87+F93+F112+F144+F177+F183+F184+F185+F64+F181</f>
        <v>0</v>
      </c>
      <c r="G189" s="25">
        <f>G53+G58+G62+G74+G80+G87+G93+G112+G144+G177+G183+G184+G185+G64+G181</f>
        <v>531.1</v>
      </c>
      <c r="H189" s="25">
        <f>H53+H58+H62+H74+H80+H87+H93+H112+H144+H177+H183+H184+H185+H64+H181</f>
        <v>0</v>
      </c>
      <c r="I189" s="25">
        <f>I53+I58+I62+I74+I80+I87+I93+I112+I144+I177+I183+I184+I185+I64+I181</f>
        <v>531.1</v>
      </c>
      <c r="J189" s="25">
        <f>J53+J58+J62+J74+J80+J87+J93+J112+J144+J177+J183+J184+J185+J64+J181+J186</f>
        <v>1320.9429999999998</v>
      </c>
      <c r="K189" s="25">
        <f>K53+K58+K62+K74+K80+K87+K93+K112+K144+K177+K183+K184+K185+K64+K181+K186</f>
        <v>0</v>
      </c>
      <c r="L189" s="226"/>
      <c r="M189" s="476"/>
    </row>
    <row r="190" spans="1:13" s="77" customFormat="1" ht="32.25" customHeight="1">
      <c r="A190" s="402"/>
      <c r="B190" s="503"/>
      <c r="C190" s="503"/>
      <c r="D190" s="44">
        <v>2020</v>
      </c>
      <c r="E190" s="25">
        <f aca="true" t="shared" si="29" ref="E190:K190">E54+E59+E63+E75+E81+E88+E94+E120+E151+E178+E41</f>
        <v>1893.6599999999999</v>
      </c>
      <c r="F190" s="25">
        <f t="shared" si="29"/>
        <v>0</v>
      </c>
      <c r="G190" s="25">
        <f t="shared" si="29"/>
        <v>1280.2</v>
      </c>
      <c r="H190" s="25">
        <f t="shared" si="29"/>
        <v>1117</v>
      </c>
      <c r="I190" s="25">
        <f t="shared" si="29"/>
        <v>163.2</v>
      </c>
      <c r="J190" s="25">
        <f t="shared" si="29"/>
        <v>613.4599999999999</v>
      </c>
      <c r="K190" s="25">
        <f t="shared" si="29"/>
        <v>0</v>
      </c>
      <c r="L190" s="225"/>
      <c r="M190" s="476"/>
    </row>
    <row r="191" spans="1:13" s="77" customFormat="1" ht="32.25" customHeight="1">
      <c r="A191" s="402"/>
      <c r="B191" s="503"/>
      <c r="C191" s="503"/>
      <c r="D191" s="42">
        <v>2021</v>
      </c>
      <c r="E191" s="25">
        <f aca="true" t="shared" si="30" ref="E191:K191">E55+E60+E69+E76+E82+E89+E95+E128+E159+E179+E42</f>
        <v>7607.76</v>
      </c>
      <c r="F191" s="25">
        <f t="shared" si="30"/>
        <v>0</v>
      </c>
      <c r="G191" s="25">
        <f t="shared" si="30"/>
        <v>6799.3</v>
      </c>
      <c r="H191" s="25">
        <f t="shared" si="30"/>
        <v>6636.1</v>
      </c>
      <c r="I191" s="25">
        <f t="shared" si="30"/>
        <v>163.2</v>
      </c>
      <c r="J191" s="25">
        <f t="shared" si="30"/>
        <v>808.46</v>
      </c>
      <c r="K191" s="25">
        <f t="shared" si="30"/>
        <v>0</v>
      </c>
      <c r="L191" s="225"/>
      <c r="M191" s="476"/>
    </row>
    <row r="192" spans="1:13" s="77" customFormat="1" ht="29.25" customHeight="1">
      <c r="A192" s="402"/>
      <c r="B192" s="503"/>
      <c r="C192" s="503"/>
      <c r="D192" s="42">
        <v>2022</v>
      </c>
      <c r="E192" s="25">
        <f aca="true" t="shared" si="31" ref="E192:K192">E61+E70+E77+E83+E90+E96+E136+E167+E180+E43</f>
        <v>1857.36</v>
      </c>
      <c r="F192" s="25">
        <f t="shared" si="31"/>
        <v>0</v>
      </c>
      <c r="G192" s="25">
        <f t="shared" si="31"/>
        <v>1113.2</v>
      </c>
      <c r="H192" s="25">
        <f t="shared" si="31"/>
        <v>950</v>
      </c>
      <c r="I192" s="25">
        <f t="shared" si="31"/>
        <v>163.2</v>
      </c>
      <c r="J192" s="25">
        <f t="shared" si="31"/>
        <v>744.16</v>
      </c>
      <c r="K192" s="25">
        <f t="shared" si="31"/>
        <v>0</v>
      </c>
      <c r="L192" s="225"/>
      <c r="M192" s="476"/>
    </row>
    <row r="193" spans="1:13" s="77" customFormat="1" ht="29.25" customHeight="1">
      <c r="A193" s="298" t="s">
        <v>136</v>
      </c>
      <c r="B193" s="474"/>
      <c r="C193" s="474"/>
      <c r="D193" s="474"/>
      <c r="E193" s="474"/>
      <c r="F193" s="474"/>
      <c r="G193" s="474"/>
      <c r="H193" s="474"/>
      <c r="I193" s="474"/>
      <c r="J193" s="474"/>
      <c r="K193" s="474"/>
      <c r="L193" s="474"/>
      <c r="M193" s="475"/>
    </row>
    <row r="194" spans="1:13" s="77" customFormat="1" ht="43.5" customHeight="1">
      <c r="A194" s="430" t="s">
        <v>137</v>
      </c>
      <c r="B194" s="431"/>
      <c r="C194" s="431"/>
      <c r="D194" s="431"/>
      <c r="E194" s="431"/>
      <c r="F194" s="431"/>
      <c r="G194" s="431"/>
      <c r="H194" s="431"/>
      <c r="I194" s="431"/>
      <c r="J194" s="431"/>
      <c r="K194" s="431"/>
      <c r="L194" s="431"/>
      <c r="M194" s="432"/>
    </row>
    <row r="195" spans="1:13" s="77" customFormat="1" ht="106.5" customHeight="1">
      <c r="A195" s="430" t="s">
        <v>161</v>
      </c>
      <c r="B195" s="431"/>
      <c r="C195" s="431"/>
      <c r="D195" s="431"/>
      <c r="E195" s="431"/>
      <c r="F195" s="431"/>
      <c r="G195" s="431"/>
      <c r="H195" s="431"/>
      <c r="I195" s="431"/>
      <c r="J195" s="431"/>
      <c r="K195" s="431"/>
      <c r="L195" s="431"/>
      <c r="M195" s="432"/>
    </row>
    <row r="196" spans="1:13" s="77" customFormat="1" ht="27" customHeight="1">
      <c r="A196" s="430" t="s">
        <v>2</v>
      </c>
      <c r="B196" s="431"/>
      <c r="C196" s="431"/>
      <c r="D196" s="431"/>
      <c r="E196" s="431"/>
      <c r="F196" s="431"/>
      <c r="G196" s="431"/>
      <c r="H196" s="431"/>
      <c r="I196" s="431"/>
      <c r="J196" s="431"/>
      <c r="K196" s="431"/>
      <c r="L196" s="431"/>
      <c r="M196" s="432"/>
    </row>
    <row r="197" spans="1:13" s="77" customFormat="1" ht="37.5" customHeight="1">
      <c r="A197" s="296" t="s">
        <v>106</v>
      </c>
      <c r="B197" s="334" t="s">
        <v>153</v>
      </c>
      <c r="C197" s="9" t="s">
        <v>156</v>
      </c>
      <c r="D197" s="4">
        <v>2017</v>
      </c>
      <c r="E197" s="14">
        <f>F197+G197+J197+K197</f>
        <v>15500.856</v>
      </c>
      <c r="F197" s="13"/>
      <c r="G197" s="14">
        <f>H197+I197</f>
        <v>0</v>
      </c>
      <c r="H197" s="14"/>
      <c r="I197" s="14"/>
      <c r="J197" s="14">
        <f>J241+J242+J243+J244+J245+J247</f>
        <v>15500.856</v>
      </c>
      <c r="K197" s="15">
        <v>0</v>
      </c>
      <c r="L197" s="5" t="s">
        <v>38</v>
      </c>
      <c r="M197" s="358" t="s">
        <v>68</v>
      </c>
    </row>
    <row r="198" spans="1:13" s="77" customFormat="1" ht="37.5" customHeight="1">
      <c r="A198" s="470"/>
      <c r="B198" s="335"/>
      <c r="C198" s="24" t="s">
        <v>138</v>
      </c>
      <c r="D198" s="45"/>
      <c r="E198" s="14">
        <f>F198+G198+J198+K198</f>
        <v>10933.428</v>
      </c>
      <c r="F198" s="13"/>
      <c r="G198" s="14">
        <f>H198+I198</f>
        <v>0</v>
      </c>
      <c r="H198" s="14"/>
      <c r="I198" s="14"/>
      <c r="J198" s="14">
        <f>J246</f>
        <v>10933.428</v>
      </c>
      <c r="K198" s="15">
        <v>0</v>
      </c>
      <c r="L198" s="5" t="s">
        <v>7</v>
      </c>
      <c r="M198" s="358"/>
    </row>
    <row r="199" spans="1:13" s="77" customFormat="1" ht="37.5" customHeight="1">
      <c r="A199" s="470"/>
      <c r="B199" s="335"/>
      <c r="C199" s="9" t="s">
        <v>156</v>
      </c>
      <c r="D199" s="4">
        <v>2018</v>
      </c>
      <c r="E199" s="14">
        <f>F199+G199+J199+K199</f>
        <v>28543.359</v>
      </c>
      <c r="F199" s="14"/>
      <c r="G199" s="14">
        <f>H199+I199</f>
        <v>0</v>
      </c>
      <c r="H199" s="14">
        <v>0</v>
      </c>
      <c r="I199" s="14">
        <v>0</v>
      </c>
      <c r="J199" s="14">
        <f>SUM(J200:J213)</f>
        <v>28543.359</v>
      </c>
      <c r="K199" s="41">
        <v>0</v>
      </c>
      <c r="L199" s="5"/>
      <c r="M199" s="358"/>
    </row>
    <row r="200" spans="1:13" s="77" customFormat="1" ht="24.75" customHeight="1">
      <c r="A200" s="470"/>
      <c r="B200" s="335"/>
      <c r="C200" s="9" t="s">
        <v>44</v>
      </c>
      <c r="D200" s="4"/>
      <c r="E200" s="14"/>
      <c r="F200" s="13"/>
      <c r="G200" s="13">
        <f aca="true" t="shared" si="32" ref="G200:G214">H200+I200</f>
        <v>0</v>
      </c>
      <c r="H200" s="13"/>
      <c r="I200" s="13"/>
      <c r="J200" s="13">
        <f>105.997+1553.242+30.82212-90.152</f>
        <v>1599.90912</v>
      </c>
      <c r="K200" s="15">
        <v>0</v>
      </c>
      <c r="L200" s="429" t="s">
        <v>7</v>
      </c>
      <c r="M200" s="358"/>
    </row>
    <row r="201" spans="1:13" s="77" customFormat="1" ht="24.75" customHeight="1">
      <c r="A201" s="470"/>
      <c r="B201" s="335"/>
      <c r="C201" s="9" t="s">
        <v>114</v>
      </c>
      <c r="D201" s="4"/>
      <c r="E201" s="14"/>
      <c r="F201" s="13"/>
      <c r="G201" s="13">
        <f t="shared" si="32"/>
        <v>0</v>
      </c>
      <c r="H201" s="13"/>
      <c r="I201" s="13"/>
      <c r="J201" s="16">
        <f>2647.00046-137.31778-3.0355</f>
        <v>2506.6471800000004</v>
      </c>
      <c r="K201" s="15">
        <v>0</v>
      </c>
      <c r="L201" s="429"/>
      <c r="M201" s="358"/>
    </row>
    <row r="202" spans="1:13" s="77" customFormat="1" ht="24.75" customHeight="1">
      <c r="A202" s="470"/>
      <c r="B202" s="335"/>
      <c r="C202" s="9" t="s">
        <v>116</v>
      </c>
      <c r="D202" s="4"/>
      <c r="E202" s="14"/>
      <c r="F202" s="13"/>
      <c r="G202" s="13">
        <f t="shared" si="32"/>
        <v>0</v>
      </c>
      <c r="H202" s="13"/>
      <c r="I202" s="13"/>
      <c r="J202" s="13">
        <f>19000-4993.27603+73.22078+64.097-230.15863</f>
        <v>13913.883119999999</v>
      </c>
      <c r="K202" s="15">
        <v>0</v>
      </c>
      <c r="L202" s="429"/>
      <c r="M202" s="358"/>
    </row>
    <row r="203" spans="1:13" s="77" customFormat="1" ht="24.75" customHeight="1">
      <c r="A203" s="470"/>
      <c r="B203" s="335"/>
      <c r="C203" s="9" t="s">
        <v>45</v>
      </c>
      <c r="D203" s="4"/>
      <c r="E203" s="14"/>
      <c r="F203" s="13"/>
      <c r="G203" s="13">
        <f t="shared" si="32"/>
        <v>0</v>
      </c>
      <c r="H203" s="13"/>
      <c r="I203" s="13"/>
      <c r="J203" s="13">
        <f>620.082-142.882</f>
        <v>477.2</v>
      </c>
      <c r="K203" s="15">
        <v>0</v>
      </c>
      <c r="L203" s="429"/>
      <c r="M203" s="358"/>
    </row>
    <row r="204" spans="1:13" s="77" customFormat="1" ht="24.75" customHeight="1">
      <c r="A204" s="470"/>
      <c r="B204" s="335"/>
      <c r="C204" s="9" t="s">
        <v>46</v>
      </c>
      <c r="D204" s="4"/>
      <c r="E204" s="14"/>
      <c r="F204" s="13"/>
      <c r="G204" s="13">
        <f t="shared" si="32"/>
        <v>0</v>
      </c>
      <c r="H204" s="13"/>
      <c r="I204" s="13"/>
      <c r="J204" s="13">
        <f>4446.112-526.952+1537.10326-314.81263</f>
        <v>5141.450629999999</v>
      </c>
      <c r="K204" s="15">
        <v>0</v>
      </c>
      <c r="L204" s="429"/>
      <c r="M204" s="358"/>
    </row>
    <row r="205" spans="1:13" s="77" customFormat="1" ht="24.75" customHeight="1">
      <c r="A205" s="470"/>
      <c r="B205" s="335"/>
      <c r="C205" s="9" t="s">
        <v>47</v>
      </c>
      <c r="D205" s="4"/>
      <c r="E205" s="14"/>
      <c r="F205" s="13"/>
      <c r="G205" s="13">
        <f t="shared" si="32"/>
        <v>0</v>
      </c>
      <c r="H205" s="13"/>
      <c r="I205" s="13"/>
      <c r="J205" s="13">
        <f>115.226+847.899+0.168</f>
        <v>963.293</v>
      </c>
      <c r="K205" s="15">
        <v>0</v>
      </c>
      <c r="L205" s="429"/>
      <c r="M205" s="358"/>
    </row>
    <row r="206" spans="1:13" s="77" customFormat="1" ht="24.75" customHeight="1">
      <c r="A206" s="470"/>
      <c r="B206" s="335"/>
      <c r="C206" s="9" t="s">
        <v>44</v>
      </c>
      <c r="D206" s="4"/>
      <c r="E206" s="14"/>
      <c r="F206" s="13"/>
      <c r="G206" s="13">
        <f t="shared" si="32"/>
        <v>0</v>
      </c>
      <c r="H206" s="13"/>
      <c r="I206" s="13"/>
      <c r="J206" s="13">
        <f>357.7+36.69771</f>
        <v>394.39770999999996</v>
      </c>
      <c r="K206" s="15">
        <v>0</v>
      </c>
      <c r="L206" s="6" t="s">
        <v>44</v>
      </c>
      <c r="M206" s="358"/>
    </row>
    <row r="207" spans="1:13" s="77" customFormat="1" ht="24.75" customHeight="1">
      <c r="A207" s="470"/>
      <c r="B207" s="335"/>
      <c r="C207" s="9" t="s">
        <v>114</v>
      </c>
      <c r="D207" s="4"/>
      <c r="E207" s="14"/>
      <c r="F207" s="13"/>
      <c r="G207" s="13">
        <f t="shared" si="32"/>
        <v>0</v>
      </c>
      <c r="H207" s="13"/>
      <c r="I207" s="13"/>
      <c r="J207" s="13">
        <f>105.779+362.898-106.319</f>
        <v>362.358</v>
      </c>
      <c r="K207" s="15">
        <v>0</v>
      </c>
      <c r="L207" s="6" t="s">
        <v>114</v>
      </c>
      <c r="M207" s="358"/>
    </row>
    <row r="208" spans="1:13" s="77" customFormat="1" ht="24.75" customHeight="1">
      <c r="A208" s="470"/>
      <c r="B208" s="335"/>
      <c r="C208" s="9" t="s">
        <v>45</v>
      </c>
      <c r="D208" s="4"/>
      <c r="E208" s="14"/>
      <c r="F208" s="13"/>
      <c r="G208" s="13">
        <f t="shared" si="32"/>
        <v>0</v>
      </c>
      <c r="H208" s="13"/>
      <c r="I208" s="13"/>
      <c r="J208" s="13">
        <v>0</v>
      </c>
      <c r="K208" s="15">
        <v>0</v>
      </c>
      <c r="L208" s="5"/>
      <c r="M208" s="358"/>
    </row>
    <row r="209" spans="1:13" s="77" customFormat="1" ht="24.75" customHeight="1">
      <c r="A209" s="470"/>
      <c r="B209" s="335"/>
      <c r="C209" s="9" t="s">
        <v>46</v>
      </c>
      <c r="D209" s="4"/>
      <c r="E209" s="14"/>
      <c r="F209" s="13"/>
      <c r="G209" s="13">
        <f t="shared" si="32"/>
        <v>0</v>
      </c>
      <c r="H209" s="13"/>
      <c r="I209" s="13"/>
      <c r="J209" s="13">
        <f>196.448+30+275.818-26.184</f>
        <v>476.08199999999994</v>
      </c>
      <c r="K209" s="15">
        <v>0</v>
      </c>
      <c r="L209" s="5" t="s">
        <v>49</v>
      </c>
      <c r="M209" s="358"/>
    </row>
    <row r="210" spans="1:13" s="77" customFormat="1" ht="24.75" customHeight="1">
      <c r="A210" s="470"/>
      <c r="B210" s="335"/>
      <c r="C210" s="9" t="s">
        <v>47</v>
      </c>
      <c r="D210" s="4"/>
      <c r="E210" s="14"/>
      <c r="F210" s="13"/>
      <c r="G210" s="13">
        <f t="shared" si="32"/>
        <v>0</v>
      </c>
      <c r="H210" s="13"/>
      <c r="I210" s="13"/>
      <c r="J210" s="13">
        <f>624.103+100+900+26.6</f>
        <v>1650.703</v>
      </c>
      <c r="K210" s="15">
        <v>0</v>
      </c>
      <c r="L210" s="5" t="s">
        <v>50</v>
      </c>
      <c r="M210" s="358"/>
    </row>
    <row r="211" spans="1:13" s="77" customFormat="1" ht="24.75" customHeight="1">
      <c r="A211" s="470"/>
      <c r="B211" s="335"/>
      <c r="C211" s="9"/>
      <c r="D211" s="4"/>
      <c r="E211" s="14"/>
      <c r="F211" s="13"/>
      <c r="G211" s="13">
        <f>H211+I211</f>
        <v>0</v>
      </c>
      <c r="H211" s="13"/>
      <c r="I211" s="13"/>
      <c r="J211" s="13">
        <v>0</v>
      </c>
      <c r="K211" s="15">
        <v>0</v>
      </c>
      <c r="L211" s="5" t="s">
        <v>51</v>
      </c>
      <c r="M211" s="358"/>
    </row>
    <row r="212" spans="1:13" s="77" customFormat="1" ht="24.75" customHeight="1">
      <c r="A212" s="470"/>
      <c r="B212" s="335"/>
      <c r="C212" s="9" t="s">
        <v>48</v>
      </c>
      <c r="D212" s="4"/>
      <c r="E212" s="14"/>
      <c r="F212" s="13"/>
      <c r="G212" s="13">
        <f t="shared" si="32"/>
        <v>0</v>
      </c>
      <c r="H212" s="13"/>
      <c r="I212" s="13"/>
      <c r="J212" s="13">
        <f>491.117-443.682+838.97984-0.0006</f>
        <v>886.41424</v>
      </c>
      <c r="K212" s="15">
        <v>0</v>
      </c>
      <c r="L212" s="5" t="s">
        <v>51</v>
      </c>
      <c r="M212" s="358"/>
    </row>
    <row r="213" spans="1:13" s="77" customFormat="1" ht="24.75" customHeight="1">
      <c r="A213" s="470"/>
      <c r="B213" s="335"/>
      <c r="C213" s="9" t="s">
        <v>48</v>
      </c>
      <c r="D213" s="4"/>
      <c r="E213" s="14"/>
      <c r="F213" s="13"/>
      <c r="G213" s="13">
        <f t="shared" si="32"/>
        <v>0</v>
      </c>
      <c r="H213" s="13"/>
      <c r="I213" s="13"/>
      <c r="J213" s="52">
        <f>147.021+24</f>
        <v>171.021</v>
      </c>
      <c r="K213" s="15">
        <v>0</v>
      </c>
      <c r="L213" s="5" t="s">
        <v>118</v>
      </c>
      <c r="M213" s="358"/>
    </row>
    <row r="214" spans="1:13" s="77" customFormat="1" ht="24.75" customHeight="1" thickBot="1">
      <c r="A214" s="470"/>
      <c r="B214" s="335"/>
      <c r="C214" s="128"/>
      <c r="D214" s="130"/>
      <c r="E214" s="147"/>
      <c r="F214" s="148"/>
      <c r="G214" s="148">
        <f t="shared" si="32"/>
        <v>0</v>
      </c>
      <c r="H214" s="148"/>
      <c r="I214" s="148"/>
      <c r="J214" s="149">
        <v>0</v>
      </c>
      <c r="K214" s="150">
        <v>0</v>
      </c>
      <c r="L214" s="5"/>
      <c r="M214" s="358"/>
    </row>
    <row r="215" spans="1:13" s="77" customFormat="1" ht="24.75" customHeight="1" thickBot="1">
      <c r="A215" s="470"/>
      <c r="B215" s="288"/>
      <c r="C215" s="154"/>
      <c r="D215" s="155">
        <v>2019</v>
      </c>
      <c r="E215" s="156">
        <f>F215+G215+J215+K215</f>
        <v>25876.25605</v>
      </c>
      <c r="F215" s="156">
        <f aca="true" t="shared" si="33" ref="F215:K215">SUM(F216:F229)</f>
        <v>0</v>
      </c>
      <c r="G215" s="156">
        <f t="shared" si="33"/>
        <v>0</v>
      </c>
      <c r="H215" s="156">
        <f t="shared" si="33"/>
        <v>0</v>
      </c>
      <c r="I215" s="156">
        <f t="shared" si="33"/>
        <v>0</v>
      </c>
      <c r="J215" s="156">
        <f t="shared" si="33"/>
        <v>25876.25605</v>
      </c>
      <c r="K215" s="157">
        <f t="shared" si="33"/>
        <v>0</v>
      </c>
      <c r="L215" s="146" t="s">
        <v>7</v>
      </c>
      <c r="M215" s="358"/>
    </row>
    <row r="216" spans="1:13" s="77" customFormat="1" ht="24.75" customHeight="1">
      <c r="A216" s="470"/>
      <c r="B216" s="335"/>
      <c r="C216" s="129" t="s">
        <v>133</v>
      </c>
      <c r="D216" s="131"/>
      <c r="E216" s="151">
        <f aca="true" t="shared" si="34" ref="E216:E237">F216+G216+J216+K216</f>
        <v>1159.92432</v>
      </c>
      <c r="F216" s="151"/>
      <c r="G216" s="151">
        <f aca="true" t="shared" si="35" ref="G216:G237">H216+I216</f>
        <v>0</v>
      </c>
      <c r="H216" s="151"/>
      <c r="I216" s="152"/>
      <c r="J216" s="151">
        <f>1350-190.07568</f>
        <v>1159.92432</v>
      </c>
      <c r="K216" s="153">
        <v>0</v>
      </c>
      <c r="L216" s="71" t="s">
        <v>7</v>
      </c>
      <c r="M216" s="358"/>
    </row>
    <row r="217" spans="1:13" s="77" customFormat="1" ht="24.75" customHeight="1">
      <c r="A217" s="470"/>
      <c r="B217" s="335"/>
      <c r="C217" s="9" t="s">
        <v>134</v>
      </c>
      <c r="D217" s="4"/>
      <c r="E217" s="13">
        <f t="shared" si="34"/>
        <v>17673.222</v>
      </c>
      <c r="F217" s="13"/>
      <c r="G217" s="13">
        <f t="shared" si="35"/>
        <v>0</v>
      </c>
      <c r="H217" s="13"/>
      <c r="I217" s="14"/>
      <c r="J217" s="13">
        <f>17794.4248-121.2028</f>
        <v>17673.222</v>
      </c>
      <c r="K217" s="15"/>
      <c r="L217" s="71" t="s">
        <v>7</v>
      </c>
      <c r="M217" s="358"/>
    </row>
    <row r="218" spans="1:13" s="77" customFormat="1" ht="24.75" customHeight="1">
      <c r="A218" s="470"/>
      <c r="B218" s="335"/>
      <c r="C218" s="9" t="s">
        <v>135</v>
      </c>
      <c r="D218" s="4"/>
      <c r="E218" s="13">
        <f t="shared" si="34"/>
        <v>0</v>
      </c>
      <c r="F218" s="13"/>
      <c r="G218" s="13">
        <f t="shared" si="35"/>
        <v>0</v>
      </c>
      <c r="H218" s="13"/>
      <c r="I218" s="14"/>
      <c r="J218" s="13">
        <f>500-159.431-340.569</f>
        <v>0</v>
      </c>
      <c r="K218" s="15"/>
      <c r="L218" s="71" t="s">
        <v>7</v>
      </c>
      <c r="M218" s="358"/>
    </row>
    <row r="219" spans="1:13" s="77" customFormat="1" ht="24.75" customHeight="1">
      <c r="A219" s="470"/>
      <c r="B219" s="335"/>
      <c r="C219" s="9" t="s">
        <v>113</v>
      </c>
      <c r="D219" s="4"/>
      <c r="E219" s="13">
        <f t="shared" si="34"/>
        <v>2109.1145</v>
      </c>
      <c r="F219" s="13"/>
      <c r="G219" s="13">
        <f t="shared" si="35"/>
        <v>0</v>
      </c>
      <c r="H219" s="13"/>
      <c r="I219" s="13">
        <v>0</v>
      </c>
      <c r="J219" s="252">
        <f>1797.73863+313.37887-2.003</f>
        <v>2109.1145</v>
      </c>
      <c r="K219" s="15"/>
      <c r="L219" s="71" t="s">
        <v>7</v>
      </c>
      <c r="M219" s="358"/>
    </row>
    <row r="220" spans="1:13" s="77" customFormat="1" ht="24.75" customHeight="1">
      <c r="A220" s="470"/>
      <c r="B220" s="335"/>
      <c r="C220" s="9" t="s">
        <v>113</v>
      </c>
      <c r="D220" s="4"/>
      <c r="E220" s="13">
        <f t="shared" si="34"/>
        <v>0</v>
      </c>
      <c r="F220" s="13"/>
      <c r="G220" s="13">
        <f t="shared" si="35"/>
        <v>0</v>
      </c>
      <c r="H220" s="13"/>
      <c r="I220" s="13"/>
      <c r="J220" s="13">
        <v>0</v>
      </c>
      <c r="K220" s="15"/>
      <c r="L220" s="71" t="s">
        <v>226</v>
      </c>
      <c r="M220" s="358"/>
    </row>
    <row r="221" spans="1:13" s="77" customFormat="1" ht="24.75" customHeight="1">
      <c r="A221" s="470"/>
      <c r="B221" s="335"/>
      <c r="C221" s="9" t="s">
        <v>50</v>
      </c>
      <c r="D221" s="4"/>
      <c r="E221" s="13">
        <f t="shared" si="34"/>
        <v>1830.5851200000002</v>
      </c>
      <c r="F221" s="13"/>
      <c r="G221" s="13">
        <f t="shared" si="35"/>
        <v>0</v>
      </c>
      <c r="H221" s="13"/>
      <c r="I221" s="14"/>
      <c r="J221" s="13">
        <f>1841.35064-10.76552</f>
        <v>1830.5851200000002</v>
      </c>
      <c r="K221" s="15"/>
      <c r="L221" s="71" t="s">
        <v>7</v>
      </c>
      <c r="M221" s="358"/>
    </row>
    <row r="222" spans="1:13" s="77" customFormat="1" ht="24.75" customHeight="1">
      <c r="A222" s="470"/>
      <c r="B222" s="335"/>
      <c r="C222" s="9" t="s">
        <v>227</v>
      </c>
      <c r="D222" s="4"/>
      <c r="E222" s="13">
        <f t="shared" si="34"/>
        <v>0</v>
      </c>
      <c r="F222" s="13"/>
      <c r="G222" s="13">
        <f t="shared" si="35"/>
        <v>0</v>
      </c>
      <c r="H222" s="13"/>
      <c r="I222" s="14"/>
      <c r="J222" s="13">
        <v>0</v>
      </c>
      <c r="K222" s="15"/>
      <c r="L222" s="71" t="s">
        <v>7</v>
      </c>
      <c r="M222" s="358"/>
    </row>
    <row r="223" spans="1:13" s="77" customFormat="1" ht="24.75" customHeight="1">
      <c r="A223" s="470"/>
      <c r="B223" s="335"/>
      <c r="C223" s="9" t="s">
        <v>133</v>
      </c>
      <c r="D223" s="4"/>
      <c r="E223" s="13">
        <f t="shared" si="34"/>
        <v>200</v>
      </c>
      <c r="F223" s="13"/>
      <c r="G223" s="13">
        <f t="shared" si="35"/>
        <v>0</v>
      </c>
      <c r="H223" s="13"/>
      <c r="I223" s="14"/>
      <c r="J223" s="13">
        <v>200</v>
      </c>
      <c r="K223" s="15"/>
      <c r="L223" s="71" t="s">
        <v>133</v>
      </c>
      <c r="M223" s="358"/>
    </row>
    <row r="224" spans="1:13" s="77" customFormat="1" ht="24.75" customHeight="1">
      <c r="A224" s="470"/>
      <c r="B224" s="335"/>
      <c r="C224" s="9" t="s">
        <v>134</v>
      </c>
      <c r="D224" s="4"/>
      <c r="E224" s="13">
        <f>F224+G224+J224+K224</f>
        <v>262.6042</v>
      </c>
      <c r="F224" s="13"/>
      <c r="G224" s="13">
        <f>H224+I224</f>
        <v>0</v>
      </c>
      <c r="H224" s="13"/>
      <c r="I224" s="14"/>
      <c r="J224" s="13">
        <f>340.773-78.1688</f>
        <v>262.6042</v>
      </c>
      <c r="K224" s="15"/>
      <c r="L224" s="71" t="s">
        <v>134</v>
      </c>
      <c r="M224" s="358"/>
    </row>
    <row r="225" spans="1:13" s="77" customFormat="1" ht="24.75" customHeight="1">
      <c r="A225" s="470"/>
      <c r="B225" s="335"/>
      <c r="C225" s="9" t="s">
        <v>135</v>
      </c>
      <c r="D225" s="4"/>
      <c r="E225" s="13">
        <f t="shared" si="34"/>
        <v>277.714</v>
      </c>
      <c r="F225" s="13"/>
      <c r="G225" s="13">
        <f t="shared" si="35"/>
        <v>0</v>
      </c>
      <c r="H225" s="13"/>
      <c r="I225" s="14"/>
      <c r="J225" s="13">
        <f>159.431+118.283</f>
        <v>277.714</v>
      </c>
      <c r="K225" s="15"/>
      <c r="L225" s="71" t="s">
        <v>135</v>
      </c>
      <c r="M225" s="358"/>
    </row>
    <row r="226" spans="1:13" s="77" customFormat="1" ht="24.75" customHeight="1">
      <c r="A226" s="470"/>
      <c r="B226" s="335"/>
      <c r="C226" s="9" t="s">
        <v>113</v>
      </c>
      <c r="D226" s="4"/>
      <c r="E226" s="13">
        <f t="shared" si="34"/>
        <v>1940.84825</v>
      </c>
      <c r="F226" s="13"/>
      <c r="G226" s="13">
        <f t="shared" si="35"/>
        <v>0</v>
      </c>
      <c r="H226" s="13"/>
      <c r="I226" s="14"/>
      <c r="J226" s="13">
        <f>2430.61771-489.76946</f>
        <v>1940.84825</v>
      </c>
      <c r="K226" s="15"/>
      <c r="L226" s="71" t="s">
        <v>158</v>
      </c>
      <c r="M226" s="358"/>
    </row>
    <row r="227" spans="1:13" s="77" customFormat="1" ht="24.75" customHeight="1">
      <c r="A227" s="470"/>
      <c r="B227" s="335"/>
      <c r="C227" s="9" t="s">
        <v>50</v>
      </c>
      <c r="D227" s="4"/>
      <c r="E227" s="13">
        <f t="shared" si="34"/>
        <v>422.24366</v>
      </c>
      <c r="F227" s="13"/>
      <c r="G227" s="13">
        <f t="shared" si="35"/>
        <v>0</v>
      </c>
      <c r="H227" s="13"/>
      <c r="I227" s="14"/>
      <c r="J227" s="13">
        <f>301.36966+120.874</f>
        <v>422.24366</v>
      </c>
      <c r="K227" s="15"/>
      <c r="L227" s="71" t="s">
        <v>157</v>
      </c>
      <c r="M227" s="358"/>
    </row>
    <row r="228" spans="1:13" s="77" customFormat="1" ht="24.75" customHeight="1">
      <c r="A228" s="470"/>
      <c r="B228" s="335"/>
      <c r="C228" s="9"/>
      <c r="D228" s="4"/>
      <c r="E228" s="13">
        <f t="shared" si="34"/>
        <v>0</v>
      </c>
      <c r="F228" s="13"/>
      <c r="G228" s="13">
        <f t="shared" si="35"/>
        <v>0</v>
      </c>
      <c r="H228" s="13"/>
      <c r="I228" s="14"/>
      <c r="J228" s="13">
        <v>0</v>
      </c>
      <c r="K228" s="15"/>
      <c r="L228" s="71"/>
      <c r="M228" s="358"/>
    </row>
    <row r="229" spans="1:13" s="77" customFormat="1" ht="24.75" customHeight="1" thickBot="1">
      <c r="A229" s="470"/>
      <c r="B229" s="336"/>
      <c r="C229" s="9"/>
      <c r="D229" s="130"/>
      <c r="E229" s="148">
        <f t="shared" si="34"/>
        <v>0</v>
      </c>
      <c r="F229" s="148"/>
      <c r="G229" s="148">
        <f t="shared" si="35"/>
        <v>0</v>
      </c>
      <c r="H229" s="148"/>
      <c r="I229" s="147"/>
      <c r="J229" s="148">
        <v>0</v>
      </c>
      <c r="K229" s="150"/>
      <c r="L229" s="71"/>
      <c r="M229" s="358"/>
    </row>
    <row r="230" spans="1:13" s="77" customFormat="1" ht="30" customHeight="1" thickBot="1">
      <c r="A230" s="470"/>
      <c r="B230" s="334" t="s">
        <v>153</v>
      </c>
      <c r="C230" s="158"/>
      <c r="D230" s="160">
        <v>2020</v>
      </c>
      <c r="E230" s="156">
        <f aca="true" t="shared" si="36" ref="E230:K230">E231</f>
        <v>11000</v>
      </c>
      <c r="F230" s="156">
        <f t="shared" si="36"/>
        <v>0</v>
      </c>
      <c r="G230" s="156">
        <f t="shared" si="36"/>
        <v>0</v>
      </c>
      <c r="H230" s="156">
        <f t="shared" si="36"/>
        <v>0</v>
      </c>
      <c r="I230" s="156">
        <f t="shared" si="36"/>
        <v>0</v>
      </c>
      <c r="J230" s="156">
        <f t="shared" si="36"/>
        <v>11000</v>
      </c>
      <c r="K230" s="157">
        <f t="shared" si="36"/>
        <v>0</v>
      </c>
      <c r="L230" s="159"/>
      <c r="M230" s="358"/>
    </row>
    <row r="231" spans="1:13" s="77" customFormat="1" ht="30" customHeight="1" thickBot="1">
      <c r="A231" s="470"/>
      <c r="B231" s="336"/>
      <c r="C231" s="9" t="s">
        <v>134</v>
      </c>
      <c r="D231" s="132"/>
      <c r="E231" s="161">
        <f t="shared" si="34"/>
        <v>11000</v>
      </c>
      <c r="F231" s="161"/>
      <c r="G231" s="161"/>
      <c r="H231" s="161"/>
      <c r="I231" s="162"/>
      <c r="J231" s="161">
        <v>11000</v>
      </c>
      <c r="K231" s="163"/>
      <c r="L231" s="71" t="s">
        <v>7</v>
      </c>
      <c r="M231" s="358"/>
    </row>
    <row r="232" spans="1:13" s="77" customFormat="1" ht="24.75" customHeight="1" thickBot="1">
      <c r="A232" s="470"/>
      <c r="B232" s="334" t="s">
        <v>153</v>
      </c>
      <c r="C232" s="158"/>
      <c r="D232" s="160">
        <v>2021</v>
      </c>
      <c r="E232" s="156">
        <f aca="true" t="shared" si="37" ref="E232:K232">E233</f>
        <v>22888.568</v>
      </c>
      <c r="F232" s="156">
        <f t="shared" si="37"/>
        <v>0</v>
      </c>
      <c r="G232" s="156">
        <f t="shared" si="37"/>
        <v>0</v>
      </c>
      <c r="H232" s="156">
        <f t="shared" si="37"/>
        <v>0</v>
      </c>
      <c r="I232" s="156">
        <f t="shared" si="37"/>
        <v>0</v>
      </c>
      <c r="J232" s="156">
        <f t="shared" si="37"/>
        <v>22888.568</v>
      </c>
      <c r="K232" s="157">
        <f t="shared" si="37"/>
        <v>0</v>
      </c>
      <c r="L232" s="159"/>
      <c r="M232" s="358"/>
    </row>
    <row r="233" spans="1:13" s="77" customFormat="1" ht="29.25" customHeight="1" thickBot="1">
      <c r="A233" s="470"/>
      <c r="B233" s="336"/>
      <c r="C233" s="9" t="s">
        <v>134</v>
      </c>
      <c r="D233" s="132"/>
      <c r="E233" s="161">
        <f t="shared" si="34"/>
        <v>22888.568</v>
      </c>
      <c r="F233" s="161"/>
      <c r="G233" s="161"/>
      <c r="H233" s="161"/>
      <c r="I233" s="162"/>
      <c r="J233" s="161">
        <v>22888.568</v>
      </c>
      <c r="K233" s="163"/>
      <c r="L233" s="71" t="s">
        <v>7</v>
      </c>
      <c r="M233" s="358"/>
    </row>
    <row r="234" spans="1:13" s="77" customFormat="1" ht="33" customHeight="1" thickBot="1">
      <c r="A234" s="470"/>
      <c r="B234" s="334" t="s">
        <v>153</v>
      </c>
      <c r="C234" s="158"/>
      <c r="D234" s="160">
        <v>2022</v>
      </c>
      <c r="E234" s="156">
        <f aca="true" t="shared" si="38" ref="E234:K234">E235</f>
        <v>20972.961</v>
      </c>
      <c r="F234" s="156">
        <f t="shared" si="38"/>
        <v>0</v>
      </c>
      <c r="G234" s="156">
        <f t="shared" si="38"/>
        <v>0</v>
      </c>
      <c r="H234" s="156">
        <f t="shared" si="38"/>
        <v>0</v>
      </c>
      <c r="I234" s="156">
        <f t="shared" si="38"/>
        <v>0</v>
      </c>
      <c r="J234" s="156">
        <f t="shared" si="38"/>
        <v>20972.961</v>
      </c>
      <c r="K234" s="157">
        <f t="shared" si="38"/>
        <v>0</v>
      </c>
      <c r="L234" s="159"/>
      <c r="M234" s="358"/>
    </row>
    <row r="235" spans="1:13" s="77" customFormat="1" ht="24.75" customHeight="1">
      <c r="A235" s="470"/>
      <c r="B235" s="336"/>
      <c r="C235" s="9" t="s">
        <v>134</v>
      </c>
      <c r="D235" s="131"/>
      <c r="E235" s="151">
        <f t="shared" si="34"/>
        <v>20972.961</v>
      </c>
      <c r="F235" s="151"/>
      <c r="G235" s="151"/>
      <c r="H235" s="151"/>
      <c r="I235" s="152"/>
      <c r="J235" s="151">
        <v>20972.961</v>
      </c>
      <c r="K235" s="153"/>
      <c r="L235" s="71" t="s">
        <v>7</v>
      </c>
      <c r="M235" s="358"/>
    </row>
    <row r="236" spans="1:13" s="77" customFormat="1" ht="24.75" customHeight="1">
      <c r="A236" s="470"/>
      <c r="B236" s="72"/>
      <c r="C236" s="9" t="s">
        <v>118</v>
      </c>
      <c r="D236" s="4">
        <v>2019</v>
      </c>
      <c r="E236" s="13">
        <f t="shared" si="34"/>
        <v>0</v>
      </c>
      <c r="F236" s="13"/>
      <c r="G236" s="13">
        <f t="shared" si="35"/>
        <v>0</v>
      </c>
      <c r="H236" s="13"/>
      <c r="I236" s="13"/>
      <c r="J236" s="14">
        <v>0</v>
      </c>
      <c r="K236" s="15"/>
      <c r="L236" s="76" t="s">
        <v>167</v>
      </c>
      <c r="M236" s="358"/>
    </row>
    <row r="237" spans="1:13" s="77" customFormat="1" ht="24.75" customHeight="1">
      <c r="A237" s="470"/>
      <c r="B237" s="411" t="s">
        <v>153</v>
      </c>
      <c r="C237" s="9"/>
      <c r="D237" s="4"/>
      <c r="E237" s="13">
        <f t="shared" si="34"/>
        <v>0</v>
      </c>
      <c r="F237" s="13"/>
      <c r="G237" s="13">
        <f t="shared" si="35"/>
        <v>0</v>
      </c>
      <c r="H237" s="13"/>
      <c r="I237" s="14"/>
      <c r="J237" s="13">
        <v>0</v>
      </c>
      <c r="K237" s="15"/>
      <c r="L237" s="71"/>
      <c r="M237" s="358"/>
    </row>
    <row r="238" spans="1:13" s="77" customFormat="1" ht="24.75" customHeight="1">
      <c r="A238" s="470"/>
      <c r="B238" s="412"/>
      <c r="C238" s="9" t="s">
        <v>156</v>
      </c>
      <c r="D238" s="4">
        <v>2020</v>
      </c>
      <c r="E238" s="14">
        <f>F238+G238+J238+K238</f>
        <v>0</v>
      </c>
      <c r="F238" s="13"/>
      <c r="G238" s="13">
        <f>H238+I238</f>
        <v>0</v>
      </c>
      <c r="H238" s="13"/>
      <c r="I238" s="14"/>
      <c r="J238" s="14">
        <v>0</v>
      </c>
      <c r="K238" s="15">
        <v>0</v>
      </c>
      <c r="L238" s="5" t="s">
        <v>7</v>
      </c>
      <c r="M238" s="358"/>
    </row>
    <row r="239" spans="1:13" s="77" customFormat="1" ht="24.75" customHeight="1">
      <c r="A239" s="470"/>
      <c r="B239" s="412"/>
      <c r="C239" s="9"/>
      <c r="D239" s="4">
        <v>2021</v>
      </c>
      <c r="E239" s="14">
        <f>F239+G239+J239+K239</f>
        <v>0</v>
      </c>
      <c r="F239" s="13"/>
      <c r="G239" s="13">
        <f>H239+I239</f>
        <v>0</v>
      </c>
      <c r="H239" s="13"/>
      <c r="I239" s="14"/>
      <c r="J239" s="14">
        <v>0</v>
      </c>
      <c r="K239" s="15">
        <v>0</v>
      </c>
      <c r="L239" s="5" t="s">
        <v>7</v>
      </c>
      <c r="M239" s="358"/>
    </row>
    <row r="240" spans="1:13" s="77" customFormat="1" ht="24.75" customHeight="1">
      <c r="A240" s="471"/>
      <c r="B240" s="413"/>
      <c r="C240" s="9"/>
      <c r="D240" s="4">
        <v>2022</v>
      </c>
      <c r="E240" s="14">
        <f aca="true" t="shared" si="39" ref="E240:E255">F240+G240+J240+K240</f>
        <v>0</v>
      </c>
      <c r="F240" s="13"/>
      <c r="G240" s="13">
        <f>H240+I240</f>
        <v>0</v>
      </c>
      <c r="H240" s="13"/>
      <c r="I240" s="14"/>
      <c r="J240" s="14">
        <v>0</v>
      </c>
      <c r="K240" s="15">
        <v>0</v>
      </c>
      <c r="L240" s="5" t="s">
        <v>7</v>
      </c>
      <c r="M240" s="358"/>
    </row>
    <row r="241" spans="1:13" s="77" customFormat="1" ht="24.75" customHeight="1">
      <c r="A241" s="372" t="s">
        <v>89</v>
      </c>
      <c r="B241" s="358" t="s">
        <v>139</v>
      </c>
      <c r="C241" s="9" t="s">
        <v>114</v>
      </c>
      <c r="D241" s="410">
        <v>2017</v>
      </c>
      <c r="E241" s="14">
        <f t="shared" si="39"/>
        <v>6400.301</v>
      </c>
      <c r="F241" s="13"/>
      <c r="G241" s="13">
        <f aca="true" t="shared" si="40" ref="G241:G247">H241+I241</f>
        <v>0</v>
      </c>
      <c r="H241" s="13"/>
      <c r="I241" s="14"/>
      <c r="J241" s="14">
        <v>6400.301</v>
      </c>
      <c r="K241" s="15">
        <v>0</v>
      </c>
      <c r="L241" s="5" t="s">
        <v>7</v>
      </c>
      <c r="M241" s="358"/>
    </row>
    <row r="242" spans="1:13" s="77" customFormat="1" ht="24.75" customHeight="1">
      <c r="A242" s="372"/>
      <c r="B242" s="358"/>
      <c r="C242" s="9" t="s">
        <v>45</v>
      </c>
      <c r="D242" s="410"/>
      <c r="E242" s="14">
        <f t="shared" si="39"/>
        <v>1458.533</v>
      </c>
      <c r="F242" s="13"/>
      <c r="G242" s="13">
        <f t="shared" si="40"/>
        <v>0</v>
      </c>
      <c r="H242" s="13"/>
      <c r="I242" s="14"/>
      <c r="J242" s="14">
        <v>1458.533</v>
      </c>
      <c r="K242" s="15">
        <v>0</v>
      </c>
      <c r="L242" s="5" t="s">
        <v>3</v>
      </c>
      <c r="M242" s="358"/>
    </row>
    <row r="243" spans="1:13" s="77" customFormat="1" ht="24.75" customHeight="1">
      <c r="A243" s="372" t="s">
        <v>90</v>
      </c>
      <c r="B243" s="358" t="s">
        <v>140</v>
      </c>
      <c r="C243" s="9" t="s">
        <v>46</v>
      </c>
      <c r="D243" s="379">
        <v>2017</v>
      </c>
      <c r="E243" s="14">
        <f t="shared" si="39"/>
        <v>2177.928</v>
      </c>
      <c r="F243" s="13"/>
      <c r="G243" s="18">
        <f t="shared" si="40"/>
        <v>0</v>
      </c>
      <c r="H243" s="18"/>
      <c r="I243" s="19"/>
      <c r="J243" s="19">
        <v>2177.928</v>
      </c>
      <c r="K243" s="20">
        <v>0</v>
      </c>
      <c r="L243" s="5" t="s">
        <v>7</v>
      </c>
      <c r="M243" s="358"/>
    </row>
    <row r="244" spans="1:13" s="77" customFormat="1" ht="36" customHeight="1">
      <c r="A244" s="372"/>
      <c r="B244" s="358"/>
      <c r="C244" s="9" t="s">
        <v>47</v>
      </c>
      <c r="D244" s="379"/>
      <c r="E244" s="14">
        <f t="shared" si="39"/>
        <v>431.162</v>
      </c>
      <c r="F244" s="13"/>
      <c r="G244" s="18">
        <f t="shared" si="40"/>
        <v>0</v>
      </c>
      <c r="H244" s="18"/>
      <c r="I244" s="19"/>
      <c r="J244" s="19">
        <v>431.162</v>
      </c>
      <c r="K244" s="20">
        <v>0</v>
      </c>
      <c r="L244" s="5" t="s">
        <v>3</v>
      </c>
      <c r="M244" s="358"/>
    </row>
    <row r="245" spans="1:13" s="77" customFormat="1" ht="24.75" customHeight="1">
      <c r="A245" s="372" t="s">
        <v>152</v>
      </c>
      <c r="B245" s="358" t="s">
        <v>91</v>
      </c>
      <c r="C245" s="9"/>
      <c r="D245" s="379">
        <v>2017</v>
      </c>
      <c r="E245" s="14">
        <f t="shared" si="39"/>
        <v>4135.29</v>
      </c>
      <c r="F245" s="13"/>
      <c r="G245" s="18">
        <f t="shared" si="40"/>
        <v>0</v>
      </c>
      <c r="H245" s="18"/>
      <c r="I245" s="19"/>
      <c r="J245" s="19">
        <v>4135.29</v>
      </c>
      <c r="K245" s="20">
        <v>0</v>
      </c>
      <c r="L245" s="429" t="s">
        <v>7</v>
      </c>
      <c r="M245" s="358"/>
    </row>
    <row r="246" spans="1:13" s="77" customFormat="1" ht="24.75" customHeight="1">
      <c r="A246" s="372"/>
      <c r="B246" s="358"/>
      <c r="C246" s="9" t="s">
        <v>156</v>
      </c>
      <c r="D246" s="379"/>
      <c r="E246" s="14">
        <f t="shared" si="39"/>
        <v>10933.428</v>
      </c>
      <c r="F246" s="13"/>
      <c r="G246" s="18">
        <f t="shared" si="40"/>
        <v>0</v>
      </c>
      <c r="H246" s="18"/>
      <c r="I246" s="19"/>
      <c r="J246" s="19">
        <v>10933.428</v>
      </c>
      <c r="K246" s="20">
        <v>0</v>
      </c>
      <c r="L246" s="429"/>
      <c r="M246" s="358"/>
    </row>
    <row r="247" spans="1:13" s="77" customFormat="1" ht="31.5" customHeight="1" thickBot="1">
      <c r="A247" s="372"/>
      <c r="B247" s="358"/>
      <c r="C247" s="9" t="s">
        <v>156</v>
      </c>
      <c r="D247" s="480"/>
      <c r="E247" s="147">
        <f t="shared" si="39"/>
        <v>897.642</v>
      </c>
      <c r="F247" s="148"/>
      <c r="G247" s="166">
        <f t="shared" si="40"/>
        <v>0</v>
      </c>
      <c r="H247" s="166"/>
      <c r="I247" s="167"/>
      <c r="J247" s="167">
        <v>897.642</v>
      </c>
      <c r="K247" s="168">
        <v>0</v>
      </c>
      <c r="L247" s="5" t="s">
        <v>3</v>
      </c>
      <c r="M247" s="358"/>
    </row>
    <row r="248" spans="1:13" s="77" customFormat="1" ht="24.75" customHeight="1" thickBot="1">
      <c r="A248" s="282" t="s">
        <v>108</v>
      </c>
      <c r="B248" s="371" t="s">
        <v>109</v>
      </c>
      <c r="C248" s="164"/>
      <c r="D248" s="174">
        <v>2018</v>
      </c>
      <c r="E248" s="156">
        <f>F248+J248+K248</f>
        <v>1130.874</v>
      </c>
      <c r="F248" s="175">
        <f aca="true" t="shared" si="41" ref="F248:K248">SUM(F249:F255)</f>
        <v>0</v>
      </c>
      <c r="G248" s="175">
        <f t="shared" si="41"/>
        <v>0</v>
      </c>
      <c r="H248" s="175">
        <f t="shared" si="41"/>
        <v>0</v>
      </c>
      <c r="I248" s="175">
        <f t="shared" si="41"/>
        <v>0</v>
      </c>
      <c r="J248" s="175">
        <f t="shared" si="41"/>
        <v>1130.874</v>
      </c>
      <c r="K248" s="176">
        <f t="shared" si="41"/>
        <v>0</v>
      </c>
      <c r="L248" s="165"/>
      <c r="M248" s="334" t="s">
        <v>115</v>
      </c>
    </row>
    <row r="249" spans="1:13" s="77" customFormat="1" ht="24.75" customHeight="1">
      <c r="A249" s="317"/>
      <c r="B249" s="319"/>
      <c r="C249" s="50"/>
      <c r="D249" s="169"/>
      <c r="E249" s="151">
        <f>F249+G249+J249+K249</f>
        <v>0</v>
      </c>
      <c r="F249" s="170"/>
      <c r="G249" s="171">
        <f aca="true" t="shared" si="42" ref="G249:G255">H249+I249</f>
        <v>0</v>
      </c>
      <c r="H249" s="172"/>
      <c r="I249" s="171">
        <v>0</v>
      </c>
      <c r="J249" s="171">
        <v>0</v>
      </c>
      <c r="K249" s="173"/>
      <c r="L249" s="56"/>
      <c r="M249" s="335"/>
    </row>
    <row r="250" spans="1:13" s="77" customFormat="1" ht="24.75" customHeight="1">
      <c r="A250" s="317"/>
      <c r="B250" s="319"/>
      <c r="C250" s="50" t="s">
        <v>110</v>
      </c>
      <c r="D250" s="8"/>
      <c r="E250" s="13">
        <f t="shared" si="39"/>
        <v>32.401</v>
      </c>
      <c r="F250" s="17"/>
      <c r="G250" s="18">
        <f t="shared" si="42"/>
        <v>0</v>
      </c>
      <c r="H250" s="18"/>
      <c r="I250" s="19"/>
      <c r="J250" s="13">
        <f>24+9.98-1.579</f>
        <v>32.401</v>
      </c>
      <c r="K250" s="20"/>
      <c r="L250" s="5" t="s">
        <v>110</v>
      </c>
      <c r="M250" s="335"/>
    </row>
    <row r="251" spans="1:13" s="77" customFormat="1" ht="24.75" customHeight="1">
      <c r="A251" s="317"/>
      <c r="B251" s="319"/>
      <c r="C251" s="50" t="s">
        <v>111</v>
      </c>
      <c r="D251" s="8"/>
      <c r="E251" s="13">
        <f t="shared" si="39"/>
        <v>202.33000000000004</v>
      </c>
      <c r="F251" s="17"/>
      <c r="G251" s="18">
        <f t="shared" si="42"/>
        <v>0</v>
      </c>
      <c r="H251" s="18"/>
      <c r="I251" s="19"/>
      <c r="J251" s="13">
        <f>304.8-99.63174-2.83826</f>
        <v>202.33000000000004</v>
      </c>
      <c r="K251" s="20"/>
      <c r="L251" s="5" t="s">
        <v>111</v>
      </c>
      <c r="M251" s="335"/>
    </row>
    <row r="252" spans="1:13" s="77" customFormat="1" ht="24.75" customHeight="1">
      <c r="A252" s="317"/>
      <c r="B252" s="319"/>
      <c r="C252" s="50" t="s">
        <v>112</v>
      </c>
      <c r="D252" s="8"/>
      <c r="E252" s="13">
        <f t="shared" si="39"/>
        <v>193.929</v>
      </c>
      <c r="F252" s="17"/>
      <c r="G252" s="18">
        <f t="shared" si="42"/>
        <v>0</v>
      </c>
      <c r="H252" s="18"/>
      <c r="I252" s="19"/>
      <c r="J252" s="18">
        <f>138.5+55.429</f>
        <v>193.929</v>
      </c>
      <c r="K252" s="20"/>
      <c r="L252" s="5" t="s">
        <v>112</v>
      </c>
      <c r="M252" s="335"/>
    </row>
    <row r="253" spans="1:13" s="77" customFormat="1" ht="24.75" customHeight="1">
      <c r="A253" s="317"/>
      <c r="B253" s="319"/>
      <c r="C253" s="50"/>
      <c r="D253" s="8"/>
      <c r="E253" s="13">
        <f t="shared" si="39"/>
        <v>522.2139999999999</v>
      </c>
      <c r="F253" s="17"/>
      <c r="G253" s="18">
        <f t="shared" si="42"/>
        <v>0</v>
      </c>
      <c r="H253" s="18"/>
      <c r="I253" s="19"/>
      <c r="J253" s="18">
        <f>874-134.152-30-249.634+62</f>
        <v>522.2139999999999</v>
      </c>
      <c r="K253" s="20"/>
      <c r="L253" s="5" t="s">
        <v>113</v>
      </c>
      <c r="M253" s="335"/>
    </row>
    <row r="254" spans="1:13" s="77" customFormat="1" ht="24.75" customHeight="1">
      <c r="A254" s="317"/>
      <c r="B254" s="319"/>
      <c r="C254" s="50"/>
      <c r="D254" s="8"/>
      <c r="E254" s="13">
        <f t="shared" si="39"/>
        <v>40</v>
      </c>
      <c r="F254" s="17"/>
      <c r="G254" s="18">
        <f t="shared" si="42"/>
        <v>0</v>
      </c>
      <c r="H254" s="18"/>
      <c r="I254" s="19"/>
      <c r="J254" s="18">
        <f>100-60</f>
        <v>40</v>
      </c>
      <c r="K254" s="20"/>
      <c r="L254" s="5" t="s">
        <v>50</v>
      </c>
      <c r="M254" s="335"/>
    </row>
    <row r="255" spans="1:13" s="77" customFormat="1" ht="24.75" customHeight="1" thickBot="1">
      <c r="A255" s="317"/>
      <c r="B255" s="319"/>
      <c r="C255" s="7"/>
      <c r="D255" s="57"/>
      <c r="E255" s="148">
        <f t="shared" si="39"/>
        <v>140</v>
      </c>
      <c r="F255" s="177"/>
      <c r="G255" s="166">
        <f t="shared" si="42"/>
        <v>0</v>
      </c>
      <c r="H255" s="166"/>
      <c r="I255" s="167"/>
      <c r="J255" s="166">
        <f>165-25</f>
        <v>140</v>
      </c>
      <c r="K255" s="168"/>
      <c r="L255" s="5" t="s">
        <v>48</v>
      </c>
      <c r="M255" s="336"/>
    </row>
    <row r="256" spans="1:13" s="77" customFormat="1" ht="26.25" customHeight="1" thickBot="1">
      <c r="A256" s="317"/>
      <c r="B256" s="319"/>
      <c r="C256" s="158"/>
      <c r="D256" s="174">
        <v>2019</v>
      </c>
      <c r="E256" s="175">
        <f aca="true" t="shared" si="43" ref="E256:K256">SUM(E257:E258)</f>
        <v>195.01735000000002</v>
      </c>
      <c r="F256" s="175">
        <f t="shared" si="43"/>
        <v>0</v>
      </c>
      <c r="G256" s="175">
        <f t="shared" si="43"/>
        <v>0</v>
      </c>
      <c r="H256" s="175">
        <f t="shared" si="43"/>
        <v>0</v>
      </c>
      <c r="I256" s="175">
        <f t="shared" si="43"/>
        <v>0</v>
      </c>
      <c r="J256" s="175">
        <f t="shared" si="43"/>
        <v>195.01735000000002</v>
      </c>
      <c r="K256" s="176">
        <f t="shared" si="43"/>
        <v>0</v>
      </c>
      <c r="L256" s="146"/>
      <c r="M256" s="358"/>
    </row>
    <row r="257" spans="1:13" s="77" customFormat="1" ht="33" customHeight="1">
      <c r="A257" s="317"/>
      <c r="B257" s="319"/>
      <c r="C257" s="50" t="s">
        <v>112</v>
      </c>
      <c r="D257" s="169">
        <v>2019</v>
      </c>
      <c r="E257" s="171">
        <f>F257+G257+J257</f>
        <v>126.36635000000001</v>
      </c>
      <c r="F257" s="171"/>
      <c r="G257" s="171">
        <f>H257+I257</f>
        <v>0</v>
      </c>
      <c r="H257" s="171"/>
      <c r="I257" s="171"/>
      <c r="J257" s="171">
        <f>400-273.63365</f>
        <v>126.36635000000001</v>
      </c>
      <c r="K257" s="172"/>
      <c r="L257" s="5" t="s">
        <v>112</v>
      </c>
      <c r="M257" s="358"/>
    </row>
    <row r="258" spans="1:13" s="77" customFormat="1" ht="33" customHeight="1">
      <c r="A258" s="317"/>
      <c r="B258" s="319"/>
      <c r="C258" s="9" t="s">
        <v>46</v>
      </c>
      <c r="D258" s="178">
        <v>2019</v>
      </c>
      <c r="E258" s="18">
        <f>F258+G258+J258</f>
        <v>68.651</v>
      </c>
      <c r="F258" s="18"/>
      <c r="G258" s="18">
        <f>H258+I258</f>
        <v>0</v>
      </c>
      <c r="H258" s="18"/>
      <c r="I258" s="18"/>
      <c r="J258" s="18">
        <v>68.651</v>
      </c>
      <c r="K258" s="19"/>
      <c r="L258" s="5" t="s">
        <v>46</v>
      </c>
      <c r="M258" s="358"/>
    </row>
    <row r="259" spans="1:13" s="77" customFormat="1" ht="36.75" customHeight="1">
      <c r="A259" s="317"/>
      <c r="B259" s="319"/>
      <c r="C259" s="9"/>
      <c r="D259" s="8">
        <v>2020</v>
      </c>
      <c r="E259" s="13">
        <f>F259+G259+K259</f>
        <v>0</v>
      </c>
      <c r="F259" s="13">
        <v>0</v>
      </c>
      <c r="G259" s="13">
        <v>0</v>
      </c>
      <c r="H259" s="13">
        <v>0</v>
      </c>
      <c r="I259" s="14">
        <v>0</v>
      </c>
      <c r="J259" s="13">
        <v>0</v>
      </c>
      <c r="K259" s="15">
        <v>0</v>
      </c>
      <c r="L259" s="5"/>
      <c r="M259" s="358"/>
    </row>
    <row r="260" spans="1:13" s="77" customFormat="1" ht="36.75" customHeight="1">
      <c r="A260" s="317"/>
      <c r="B260" s="319"/>
      <c r="C260" s="9"/>
      <c r="D260" s="8">
        <v>2021</v>
      </c>
      <c r="E260" s="13">
        <f>F260+G260+K260</f>
        <v>0</v>
      </c>
      <c r="F260" s="13">
        <v>0</v>
      </c>
      <c r="G260" s="13">
        <f>H260+I260</f>
        <v>0</v>
      </c>
      <c r="H260" s="13">
        <v>0</v>
      </c>
      <c r="I260" s="13">
        <v>0</v>
      </c>
      <c r="J260" s="13">
        <v>0</v>
      </c>
      <c r="K260" s="15">
        <v>0</v>
      </c>
      <c r="L260" s="5"/>
      <c r="M260" s="358"/>
    </row>
    <row r="261" spans="1:13" s="77" customFormat="1" ht="35.25" customHeight="1" thickBot="1">
      <c r="A261" s="283"/>
      <c r="B261" s="320"/>
      <c r="C261" s="9"/>
      <c r="D261" s="57">
        <v>2022</v>
      </c>
      <c r="E261" s="148">
        <f>F261+G261+K261</f>
        <v>0</v>
      </c>
      <c r="F261" s="148">
        <v>0</v>
      </c>
      <c r="G261" s="148">
        <f>H261+I261</f>
        <v>0</v>
      </c>
      <c r="H261" s="148">
        <v>0</v>
      </c>
      <c r="I261" s="148">
        <v>0</v>
      </c>
      <c r="J261" s="148">
        <v>0</v>
      </c>
      <c r="K261" s="150">
        <v>0</v>
      </c>
      <c r="L261" s="5"/>
      <c r="M261" s="358"/>
    </row>
    <row r="262" spans="1:13" s="77" customFormat="1" ht="28.5" customHeight="1" thickBot="1">
      <c r="A262" s="372" t="s">
        <v>122</v>
      </c>
      <c r="B262" s="358" t="s">
        <v>214</v>
      </c>
      <c r="C262" s="158"/>
      <c r="D262" s="174">
        <v>2019</v>
      </c>
      <c r="E262" s="175">
        <f aca="true" t="shared" si="44" ref="E262:K262">E266+E267+E268+E269+E270+E271+E272+E273</f>
        <v>498</v>
      </c>
      <c r="F262" s="175">
        <f t="shared" si="44"/>
        <v>0</v>
      </c>
      <c r="G262" s="175">
        <f t="shared" si="44"/>
        <v>473.00000000000006</v>
      </c>
      <c r="H262" s="175">
        <f t="shared" si="44"/>
        <v>0</v>
      </c>
      <c r="I262" s="175">
        <f t="shared" si="44"/>
        <v>473.00000000000006</v>
      </c>
      <c r="J262" s="175">
        <f t="shared" si="44"/>
        <v>25</v>
      </c>
      <c r="K262" s="176">
        <f t="shared" si="44"/>
        <v>0</v>
      </c>
      <c r="L262" s="146"/>
      <c r="M262" s="24"/>
    </row>
    <row r="263" spans="1:13" s="77" customFormat="1" ht="33" customHeight="1">
      <c r="A263" s="372"/>
      <c r="B263" s="358"/>
      <c r="C263" s="9"/>
      <c r="D263" s="81">
        <v>2020</v>
      </c>
      <c r="E263" s="151">
        <v>0</v>
      </c>
      <c r="F263" s="151">
        <v>0</v>
      </c>
      <c r="G263" s="151">
        <v>0</v>
      </c>
      <c r="H263" s="151">
        <v>0</v>
      </c>
      <c r="I263" s="151">
        <v>0</v>
      </c>
      <c r="J263" s="151">
        <v>0</v>
      </c>
      <c r="K263" s="153">
        <v>0</v>
      </c>
      <c r="L263" s="5"/>
      <c r="M263" s="24"/>
    </row>
    <row r="264" spans="1:13" s="77" customFormat="1" ht="31.5" customHeight="1">
      <c r="A264" s="372"/>
      <c r="B264" s="358"/>
      <c r="C264" s="9"/>
      <c r="D264" s="8">
        <v>2021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5">
        <v>0</v>
      </c>
      <c r="L264" s="5"/>
      <c r="M264" s="24"/>
    </row>
    <row r="265" spans="1:13" s="77" customFormat="1" ht="25.5" customHeight="1">
      <c r="A265" s="372"/>
      <c r="B265" s="358"/>
      <c r="C265" s="9"/>
      <c r="D265" s="8">
        <v>2022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5">
        <v>0</v>
      </c>
      <c r="L265" s="5"/>
      <c r="M265" s="24"/>
    </row>
    <row r="266" spans="1:13" s="77" customFormat="1" ht="43.5" customHeight="1">
      <c r="A266" s="372" t="s">
        <v>121</v>
      </c>
      <c r="B266" s="105" t="s">
        <v>181</v>
      </c>
      <c r="C266" s="6" t="s">
        <v>46</v>
      </c>
      <c r="D266" s="1">
        <v>2019</v>
      </c>
      <c r="E266" s="13">
        <f aca="true" t="shared" si="45" ref="E266:E273">F266+G266+J266+K266</f>
        <v>8.6</v>
      </c>
      <c r="F266" s="13"/>
      <c r="G266" s="13">
        <f>H266+I266</f>
        <v>0</v>
      </c>
      <c r="H266" s="13"/>
      <c r="I266" s="13">
        <v>0</v>
      </c>
      <c r="J266" s="13">
        <v>8.6</v>
      </c>
      <c r="K266" s="15">
        <v>0</v>
      </c>
      <c r="L266" s="5" t="s">
        <v>113</v>
      </c>
      <c r="M266" s="358"/>
    </row>
    <row r="267" spans="1:13" s="77" customFormat="1" ht="54" customHeight="1">
      <c r="A267" s="372"/>
      <c r="B267" s="105" t="s">
        <v>142</v>
      </c>
      <c r="C267" s="6" t="s">
        <v>47</v>
      </c>
      <c r="D267" s="1">
        <v>2019</v>
      </c>
      <c r="E267" s="13">
        <f t="shared" si="45"/>
        <v>15.4</v>
      </c>
      <c r="F267" s="13"/>
      <c r="G267" s="13">
        <f aca="true" t="shared" si="46" ref="G267:G273">H267+I267</f>
        <v>15.4</v>
      </c>
      <c r="H267" s="13"/>
      <c r="I267" s="13">
        <v>15.4</v>
      </c>
      <c r="J267" s="13">
        <v>0</v>
      </c>
      <c r="K267" s="15">
        <v>0</v>
      </c>
      <c r="L267" s="5" t="s">
        <v>50</v>
      </c>
      <c r="M267" s="358"/>
    </row>
    <row r="268" spans="1:13" s="77" customFormat="1" ht="82.5" customHeight="1">
      <c r="A268" s="82" t="s">
        <v>123</v>
      </c>
      <c r="B268" s="24" t="s">
        <v>182</v>
      </c>
      <c r="C268" s="6" t="s">
        <v>46</v>
      </c>
      <c r="D268" s="1">
        <v>2019</v>
      </c>
      <c r="E268" s="13">
        <f t="shared" si="45"/>
        <v>137.612</v>
      </c>
      <c r="F268" s="13"/>
      <c r="G268" s="13">
        <f t="shared" si="46"/>
        <v>137.612</v>
      </c>
      <c r="H268" s="13"/>
      <c r="I268" s="13">
        <v>137.612</v>
      </c>
      <c r="J268" s="13">
        <v>0</v>
      </c>
      <c r="K268" s="15">
        <v>0</v>
      </c>
      <c r="L268" s="5" t="s">
        <v>113</v>
      </c>
      <c r="M268" s="24" t="s">
        <v>128</v>
      </c>
    </row>
    <row r="269" spans="1:13" s="77" customFormat="1" ht="77.25" customHeight="1">
      <c r="A269" s="82" t="s">
        <v>124</v>
      </c>
      <c r="B269" s="24" t="s">
        <v>183</v>
      </c>
      <c r="C269" s="6" t="s">
        <v>46</v>
      </c>
      <c r="D269" s="1">
        <v>2019</v>
      </c>
      <c r="E269" s="13">
        <f t="shared" si="45"/>
        <v>131.693</v>
      </c>
      <c r="F269" s="13"/>
      <c r="G269" s="13">
        <f>H269+I269</f>
        <v>131.693</v>
      </c>
      <c r="H269" s="13"/>
      <c r="I269" s="13">
        <f>120.581+11.112</f>
        <v>131.693</v>
      </c>
      <c r="J269" s="13">
        <v>0</v>
      </c>
      <c r="K269" s="15">
        <v>0</v>
      </c>
      <c r="L269" s="5" t="s">
        <v>113</v>
      </c>
      <c r="M269" s="358" t="s">
        <v>129</v>
      </c>
    </row>
    <row r="270" spans="1:13" s="77" customFormat="1" ht="75" customHeight="1">
      <c r="A270" s="372" t="s">
        <v>125</v>
      </c>
      <c r="B270" s="24" t="s">
        <v>184</v>
      </c>
      <c r="C270" s="6" t="s">
        <v>46</v>
      </c>
      <c r="D270" s="1">
        <v>2019</v>
      </c>
      <c r="E270" s="13">
        <f t="shared" si="45"/>
        <v>44.018</v>
      </c>
      <c r="F270" s="13"/>
      <c r="G270" s="13">
        <f t="shared" si="46"/>
        <v>36.039</v>
      </c>
      <c r="H270" s="13"/>
      <c r="I270" s="13">
        <f>44.018-7.979</f>
        <v>36.039</v>
      </c>
      <c r="J270" s="13">
        <f>16.579-8.6</f>
        <v>7.979000000000001</v>
      </c>
      <c r="K270" s="15">
        <v>0</v>
      </c>
      <c r="L270" s="5" t="s">
        <v>113</v>
      </c>
      <c r="M270" s="358"/>
    </row>
    <row r="271" spans="1:13" s="77" customFormat="1" ht="73.5" customHeight="1">
      <c r="A271" s="372"/>
      <c r="B271" s="24" t="s">
        <v>185</v>
      </c>
      <c r="C271" s="6" t="s">
        <v>46</v>
      </c>
      <c r="D271" s="1">
        <v>2019</v>
      </c>
      <c r="E271" s="13">
        <f t="shared" si="45"/>
        <v>7.656000000000001</v>
      </c>
      <c r="F271" s="13"/>
      <c r="G271" s="13">
        <f t="shared" si="46"/>
        <v>7.656000000000001</v>
      </c>
      <c r="H271" s="13"/>
      <c r="I271" s="13">
        <f>18.768-11.112</f>
        <v>7.656000000000001</v>
      </c>
      <c r="J271" s="13"/>
      <c r="K271" s="15"/>
      <c r="L271" s="5" t="s">
        <v>187</v>
      </c>
      <c r="M271" s="24"/>
    </row>
    <row r="272" spans="1:13" s="77" customFormat="1" ht="90" customHeight="1">
      <c r="A272" s="372"/>
      <c r="B272" s="24" t="s">
        <v>141</v>
      </c>
      <c r="C272" s="6" t="s">
        <v>47</v>
      </c>
      <c r="D272" s="1">
        <v>2019</v>
      </c>
      <c r="E272" s="13">
        <f t="shared" si="45"/>
        <v>10.74</v>
      </c>
      <c r="F272" s="13"/>
      <c r="G272" s="13">
        <f t="shared" si="46"/>
        <v>10.74</v>
      </c>
      <c r="H272" s="13"/>
      <c r="I272" s="13">
        <v>10.74</v>
      </c>
      <c r="J272" s="13">
        <v>0</v>
      </c>
      <c r="K272" s="15">
        <v>0</v>
      </c>
      <c r="L272" s="5" t="s">
        <v>50</v>
      </c>
      <c r="M272" s="24" t="s">
        <v>130</v>
      </c>
    </row>
    <row r="273" spans="1:13" s="77" customFormat="1" ht="55.5" customHeight="1">
      <c r="A273" s="82" t="s">
        <v>126</v>
      </c>
      <c r="B273" s="24" t="s">
        <v>127</v>
      </c>
      <c r="C273" s="6" t="s">
        <v>47</v>
      </c>
      <c r="D273" s="1">
        <v>2019</v>
      </c>
      <c r="E273" s="13">
        <f t="shared" si="45"/>
        <v>142.281</v>
      </c>
      <c r="F273" s="13"/>
      <c r="G273" s="13">
        <f t="shared" si="46"/>
        <v>133.86</v>
      </c>
      <c r="H273" s="13"/>
      <c r="I273" s="13">
        <v>133.86</v>
      </c>
      <c r="J273" s="13">
        <v>8.421</v>
      </c>
      <c r="K273" s="15">
        <v>0</v>
      </c>
      <c r="L273" s="5" t="s">
        <v>50</v>
      </c>
      <c r="M273" s="24" t="s">
        <v>131</v>
      </c>
    </row>
    <row r="274" spans="1:13" s="89" customFormat="1" ht="89.25" customHeight="1">
      <c r="A274" s="92" t="s">
        <v>168</v>
      </c>
      <c r="B274" s="424" t="s">
        <v>165</v>
      </c>
      <c r="C274" s="425"/>
      <c r="D274" s="4">
        <v>2019</v>
      </c>
      <c r="E274" s="14">
        <f aca="true" t="shared" si="47" ref="E274:K274">E275+E276</f>
        <v>1013.9999999999999</v>
      </c>
      <c r="F274" s="14">
        <f t="shared" si="47"/>
        <v>0</v>
      </c>
      <c r="G274" s="14">
        <f t="shared" si="47"/>
        <v>963</v>
      </c>
      <c r="H274" s="14">
        <f t="shared" si="47"/>
        <v>0</v>
      </c>
      <c r="I274" s="14">
        <f t="shared" si="47"/>
        <v>963</v>
      </c>
      <c r="J274" s="14">
        <f t="shared" si="47"/>
        <v>51</v>
      </c>
      <c r="K274" s="14">
        <f t="shared" si="47"/>
        <v>0</v>
      </c>
      <c r="L274" s="56"/>
      <c r="M274" s="101"/>
    </row>
    <row r="275" spans="1:13" s="77" customFormat="1" ht="71.25" customHeight="1">
      <c r="A275" s="82" t="s">
        <v>169</v>
      </c>
      <c r="B275" s="376" t="s">
        <v>165</v>
      </c>
      <c r="C275" s="376"/>
      <c r="D275" s="102">
        <v>2019</v>
      </c>
      <c r="E275" s="27">
        <f>F275+G275+J275+K275</f>
        <v>800.0321799999999</v>
      </c>
      <c r="F275" s="93"/>
      <c r="G275" s="27">
        <f>H275+I275</f>
        <v>760.03</v>
      </c>
      <c r="H275" s="94"/>
      <c r="I275" s="228">
        <f>765.502-5.472</f>
        <v>760.03</v>
      </c>
      <c r="J275" s="229">
        <f>40.2898-0.28762</f>
        <v>40.00218</v>
      </c>
      <c r="K275" s="95"/>
      <c r="L275" s="96" t="s">
        <v>51</v>
      </c>
      <c r="M275" s="438" t="s">
        <v>166</v>
      </c>
    </row>
    <row r="276" spans="1:13" s="77" customFormat="1" ht="74.25" customHeight="1">
      <c r="A276" s="103" t="s">
        <v>170</v>
      </c>
      <c r="B276" s="292" t="s">
        <v>165</v>
      </c>
      <c r="C276" s="293"/>
      <c r="D276" s="102">
        <v>2019</v>
      </c>
      <c r="E276" s="73">
        <f>F276+G276+J276+K276</f>
        <v>213.96782</v>
      </c>
      <c r="F276" s="97"/>
      <c r="G276" s="73">
        <f>H276+I276</f>
        <v>202.97</v>
      </c>
      <c r="H276" s="98"/>
      <c r="I276" s="230">
        <f>197.498+5.472</f>
        <v>202.97</v>
      </c>
      <c r="J276" s="231">
        <f>10.7102+0.28762</f>
        <v>10.99782</v>
      </c>
      <c r="K276" s="99"/>
      <c r="L276" s="100" t="s">
        <v>177</v>
      </c>
      <c r="M276" s="411"/>
    </row>
    <row r="277" spans="1:13" s="77" customFormat="1" ht="24.75" customHeight="1">
      <c r="A277" s="365" t="s">
        <v>171</v>
      </c>
      <c r="B277" s="361" t="s">
        <v>221</v>
      </c>
      <c r="C277" s="362"/>
      <c r="D277" s="130">
        <v>2020</v>
      </c>
      <c r="E277" s="207">
        <f aca="true" t="shared" si="48" ref="E277:K277">E280+E281+E282+++++E284+E290+E291+E292+E293</f>
        <v>0</v>
      </c>
      <c r="F277" s="207">
        <f t="shared" si="48"/>
        <v>0</v>
      </c>
      <c r="G277" s="207">
        <f t="shared" si="48"/>
        <v>0</v>
      </c>
      <c r="H277" s="207">
        <f t="shared" si="48"/>
        <v>0</v>
      </c>
      <c r="I277" s="207">
        <f t="shared" si="48"/>
        <v>0</v>
      </c>
      <c r="J277" s="207">
        <f t="shared" si="48"/>
        <v>0</v>
      </c>
      <c r="K277" s="207">
        <f t="shared" si="48"/>
        <v>0</v>
      </c>
      <c r="L277" s="100"/>
      <c r="M277" s="128">
        <v>1377</v>
      </c>
    </row>
    <row r="278" spans="1:13" s="77" customFormat="1" ht="24.75" customHeight="1">
      <c r="A278" s="366"/>
      <c r="B278" s="363"/>
      <c r="C278" s="364"/>
      <c r="D278" s="130">
        <v>2021</v>
      </c>
      <c r="E278" s="207">
        <f aca="true" t="shared" si="49" ref="E278:K278">E283+E285+E286+E287+E288+E289</f>
        <v>0</v>
      </c>
      <c r="F278" s="207">
        <f t="shared" si="49"/>
        <v>0</v>
      </c>
      <c r="G278" s="207">
        <f t="shared" si="49"/>
        <v>0</v>
      </c>
      <c r="H278" s="207">
        <f t="shared" si="49"/>
        <v>0</v>
      </c>
      <c r="I278" s="207">
        <f t="shared" si="49"/>
        <v>0</v>
      </c>
      <c r="J278" s="207">
        <f t="shared" si="49"/>
        <v>0</v>
      </c>
      <c r="K278" s="207">
        <f t="shared" si="49"/>
        <v>0</v>
      </c>
      <c r="L278" s="100"/>
      <c r="M278" s="128">
        <v>1630</v>
      </c>
    </row>
    <row r="279" spans="1:13" s="77" customFormat="1" ht="24.75" customHeight="1" thickBot="1">
      <c r="A279" s="366"/>
      <c r="B279" s="363"/>
      <c r="C279" s="364"/>
      <c r="D279" s="130">
        <v>2022</v>
      </c>
      <c r="E279" s="207">
        <v>0</v>
      </c>
      <c r="F279" s="207">
        <v>0</v>
      </c>
      <c r="G279" s="207">
        <v>0</v>
      </c>
      <c r="H279" s="207">
        <v>0</v>
      </c>
      <c r="I279" s="207">
        <v>0</v>
      </c>
      <c r="J279" s="207">
        <v>0</v>
      </c>
      <c r="K279" s="207">
        <v>0</v>
      </c>
      <c r="L279" s="100"/>
      <c r="M279" s="128"/>
    </row>
    <row r="280" spans="1:14" s="77" customFormat="1" ht="24.75" customHeight="1">
      <c r="A280" s="368" t="s">
        <v>215</v>
      </c>
      <c r="B280" s="318" t="s">
        <v>188</v>
      </c>
      <c r="C280" s="188" t="s">
        <v>189</v>
      </c>
      <c r="D280" s="209">
        <v>2020</v>
      </c>
      <c r="E280" s="210"/>
      <c r="F280" s="210"/>
      <c r="G280" s="210"/>
      <c r="H280" s="210"/>
      <c r="I280" s="210"/>
      <c r="J280" s="210">
        <v>0</v>
      </c>
      <c r="K280" s="211"/>
      <c r="L280" s="212" t="s">
        <v>189</v>
      </c>
      <c r="M280" s="64"/>
      <c r="N280" s="64" t="s">
        <v>190</v>
      </c>
    </row>
    <row r="281" spans="1:14" s="77" customFormat="1" ht="24.75" customHeight="1">
      <c r="A281" s="369"/>
      <c r="B281" s="319"/>
      <c r="C281" s="6" t="s">
        <v>191</v>
      </c>
      <c r="D281" s="1">
        <v>2020</v>
      </c>
      <c r="E281" s="13"/>
      <c r="F281" s="13"/>
      <c r="G281" s="13"/>
      <c r="H281" s="13"/>
      <c r="I281" s="13"/>
      <c r="J281" s="13">
        <v>0</v>
      </c>
      <c r="K281" s="15"/>
      <c r="L281" s="5" t="s">
        <v>191</v>
      </c>
      <c r="M281" s="65"/>
      <c r="N281" s="65" t="s">
        <v>193</v>
      </c>
    </row>
    <row r="282" spans="1:14" s="77" customFormat="1" ht="24.75" customHeight="1">
      <c r="A282" s="369"/>
      <c r="B282" s="319"/>
      <c r="C282" s="6" t="s">
        <v>192</v>
      </c>
      <c r="D282" s="1">
        <v>2020</v>
      </c>
      <c r="E282" s="13"/>
      <c r="F282" s="13"/>
      <c r="G282" s="13"/>
      <c r="H282" s="13"/>
      <c r="I282" s="13"/>
      <c r="J282" s="13">
        <v>0</v>
      </c>
      <c r="K282" s="15"/>
      <c r="L282" s="5" t="s">
        <v>192</v>
      </c>
      <c r="M282" s="65"/>
      <c r="N282" s="65" t="s">
        <v>194</v>
      </c>
    </row>
    <row r="283" spans="1:14" s="77" customFormat="1" ht="24.75" customHeight="1" thickBot="1">
      <c r="A283" s="370"/>
      <c r="B283" s="367"/>
      <c r="C283" s="213" t="s">
        <v>202</v>
      </c>
      <c r="D283" s="214">
        <v>2021</v>
      </c>
      <c r="E283" s="215"/>
      <c r="F283" s="215"/>
      <c r="G283" s="215"/>
      <c r="H283" s="215"/>
      <c r="I283" s="215"/>
      <c r="J283" s="215">
        <v>0</v>
      </c>
      <c r="K283" s="216"/>
      <c r="L283" s="217" t="s">
        <v>202</v>
      </c>
      <c r="M283" s="69"/>
      <c r="N283" s="69" t="s">
        <v>211</v>
      </c>
    </row>
    <row r="284" spans="1:14" s="77" customFormat="1" ht="24.75" customHeight="1">
      <c r="A284" s="456" t="s">
        <v>216</v>
      </c>
      <c r="B284" s="318" t="s">
        <v>195</v>
      </c>
      <c r="C284" s="188" t="s">
        <v>192</v>
      </c>
      <c r="D284" s="209">
        <v>2020</v>
      </c>
      <c r="E284" s="210"/>
      <c r="F284" s="210"/>
      <c r="G284" s="210"/>
      <c r="H284" s="210"/>
      <c r="I284" s="210"/>
      <c r="J284" s="210">
        <v>0</v>
      </c>
      <c r="K284" s="211"/>
      <c r="L284" s="212" t="s">
        <v>192</v>
      </c>
      <c r="M284" s="64"/>
      <c r="N284" s="64" t="s">
        <v>197</v>
      </c>
    </row>
    <row r="285" spans="1:14" s="77" customFormat="1" ht="24.75" customHeight="1">
      <c r="A285" s="457"/>
      <c r="B285" s="319"/>
      <c r="C285" s="6" t="s">
        <v>208</v>
      </c>
      <c r="D285" s="1">
        <v>2021</v>
      </c>
      <c r="E285" s="13"/>
      <c r="F285" s="13"/>
      <c r="G285" s="13"/>
      <c r="H285" s="13"/>
      <c r="I285" s="13"/>
      <c r="J285" s="13">
        <v>0</v>
      </c>
      <c r="K285" s="15"/>
      <c r="L285" s="5" t="s">
        <v>208</v>
      </c>
      <c r="M285" s="65"/>
      <c r="N285" s="65" t="s">
        <v>209</v>
      </c>
    </row>
    <row r="286" spans="1:14" s="77" customFormat="1" ht="24.75" customHeight="1">
      <c r="A286" s="457"/>
      <c r="B286" s="319"/>
      <c r="C286" s="6" t="s">
        <v>48</v>
      </c>
      <c r="D286" s="1">
        <v>2021</v>
      </c>
      <c r="E286" s="13"/>
      <c r="F286" s="13"/>
      <c r="G286" s="13"/>
      <c r="H286" s="13"/>
      <c r="I286" s="13"/>
      <c r="J286" s="13">
        <v>0</v>
      </c>
      <c r="K286" s="15"/>
      <c r="L286" s="5" t="s">
        <v>210</v>
      </c>
      <c r="M286" s="65"/>
      <c r="N286" s="65" t="s">
        <v>212</v>
      </c>
    </row>
    <row r="287" spans="1:14" s="77" customFormat="1" ht="24.75" customHeight="1">
      <c r="A287" s="457"/>
      <c r="B287" s="319"/>
      <c r="C287" s="6" t="s">
        <v>158</v>
      </c>
      <c r="D287" s="1">
        <v>2021</v>
      </c>
      <c r="E287" s="13"/>
      <c r="F287" s="13"/>
      <c r="G287" s="13"/>
      <c r="H287" s="13"/>
      <c r="I287" s="13"/>
      <c r="J287" s="13">
        <v>0</v>
      </c>
      <c r="K287" s="15"/>
      <c r="L287" s="5" t="s">
        <v>158</v>
      </c>
      <c r="M287" s="65"/>
      <c r="N287" s="65" t="s">
        <v>196</v>
      </c>
    </row>
    <row r="288" spans="1:14" s="77" customFormat="1" ht="24.75" customHeight="1">
      <c r="A288" s="457"/>
      <c r="B288" s="319"/>
      <c r="C288" s="6" t="s">
        <v>157</v>
      </c>
      <c r="D288" s="1">
        <v>2021</v>
      </c>
      <c r="E288" s="13"/>
      <c r="F288" s="13"/>
      <c r="G288" s="13"/>
      <c r="H288" s="13"/>
      <c r="I288" s="13"/>
      <c r="J288" s="13">
        <v>0</v>
      </c>
      <c r="K288" s="15"/>
      <c r="L288" s="5" t="s">
        <v>157</v>
      </c>
      <c r="M288" s="65"/>
      <c r="N288" s="65" t="s">
        <v>206</v>
      </c>
    </row>
    <row r="289" spans="1:14" s="77" customFormat="1" ht="24.75" customHeight="1" thickBot="1">
      <c r="A289" s="458"/>
      <c r="B289" s="367"/>
      <c r="C289" s="213" t="s">
        <v>202</v>
      </c>
      <c r="D289" s="214">
        <v>2021</v>
      </c>
      <c r="E289" s="215"/>
      <c r="F289" s="215"/>
      <c r="G289" s="215"/>
      <c r="H289" s="215"/>
      <c r="I289" s="215"/>
      <c r="J289" s="215">
        <v>0</v>
      </c>
      <c r="K289" s="216"/>
      <c r="L289" s="217" t="s">
        <v>202</v>
      </c>
      <c r="M289" s="69"/>
      <c r="N289" s="69" t="s">
        <v>213</v>
      </c>
    </row>
    <row r="290" spans="1:14" s="77" customFormat="1" ht="39.75" customHeight="1">
      <c r="A290" s="208" t="s">
        <v>217</v>
      </c>
      <c r="B290" s="193" t="s">
        <v>207</v>
      </c>
      <c r="C290" s="125" t="s">
        <v>157</v>
      </c>
      <c r="D290" s="218">
        <v>2020</v>
      </c>
      <c r="E290" s="151"/>
      <c r="F290" s="151"/>
      <c r="G290" s="151"/>
      <c r="H290" s="151"/>
      <c r="I290" s="151"/>
      <c r="J290" s="151">
        <v>0</v>
      </c>
      <c r="K290" s="153"/>
      <c r="L290" s="219" t="s">
        <v>157</v>
      </c>
      <c r="M290" s="80"/>
      <c r="N290" s="80" t="s">
        <v>198</v>
      </c>
    </row>
    <row r="291" spans="1:14" s="77" customFormat="1" ht="36" customHeight="1">
      <c r="A291" s="103" t="s">
        <v>218</v>
      </c>
      <c r="B291" s="194" t="s">
        <v>199</v>
      </c>
      <c r="C291" s="6" t="s">
        <v>157</v>
      </c>
      <c r="D291" s="1">
        <v>2020</v>
      </c>
      <c r="E291" s="13"/>
      <c r="F291" s="13"/>
      <c r="G291" s="13"/>
      <c r="H291" s="13"/>
      <c r="I291" s="13"/>
      <c r="J291" s="13">
        <v>0</v>
      </c>
      <c r="K291" s="15"/>
      <c r="L291" s="5" t="s">
        <v>157</v>
      </c>
      <c r="M291" s="24"/>
      <c r="N291" s="24" t="s">
        <v>200</v>
      </c>
    </row>
    <row r="292" spans="1:14" s="77" customFormat="1" ht="37.5" customHeight="1">
      <c r="A292" s="220" t="s">
        <v>219</v>
      </c>
      <c r="B292" s="194" t="s">
        <v>201</v>
      </c>
      <c r="C292" s="6" t="s">
        <v>202</v>
      </c>
      <c r="D292" s="1">
        <v>2020</v>
      </c>
      <c r="E292" s="13"/>
      <c r="F292" s="13"/>
      <c r="G292" s="13"/>
      <c r="H292" s="13"/>
      <c r="I292" s="13"/>
      <c r="J292" s="13">
        <v>0</v>
      </c>
      <c r="K292" s="15"/>
      <c r="L292" s="5" t="s">
        <v>202</v>
      </c>
      <c r="M292" s="24"/>
      <c r="N292" s="24" t="s">
        <v>203</v>
      </c>
    </row>
    <row r="293" spans="1:14" s="77" customFormat="1" ht="41.25" customHeight="1">
      <c r="A293" s="220" t="s">
        <v>220</v>
      </c>
      <c r="B293" s="194" t="s">
        <v>204</v>
      </c>
      <c r="C293" s="6" t="s">
        <v>202</v>
      </c>
      <c r="D293" s="1">
        <v>2020</v>
      </c>
      <c r="E293" s="13"/>
      <c r="F293" s="13"/>
      <c r="G293" s="13"/>
      <c r="H293" s="13"/>
      <c r="I293" s="13"/>
      <c r="J293" s="13">
        <v>0</v>
      </c>
      <c r="K293" s="15"/>
      <c r="L293" s="5" t="s">
        <v>202</v>
      </c>
      <c r="M293" s="24"/>
      <c r="N293" s="24" t="s">
        <v>205</v>
      </c>
    </row>
    <row r="294" spans="1:13" s="89" customFormat="1" ht="24.75" customHeight="1">
      <c r="A294" s="104"/>
      <c r="B294" s="455"/>
      <c r="C294" s="455"/>
      <c r="D294" s="4"/>
      <c r="E294" s="25"/>
      <c r="F294" s="25"/>
      <c r="G294" s="25"/>
      <c r="H294" s="25"/>
      <c r="I294" s="25"/>
      <c r="J294" s="25"/>
      <c r="K294" s="112"/>
      <c r="L294" s="113"/>
      <c r="M294" s="105"/>
    </row>
    <row r="295" spans="1:13" s="89" customFormat="1" ht="24.75" customHeight="1">
      <c r="A295" s="104"/>
      <c r="B295" s="119"/>
      <c r="C295" s="120"/>
      <c r="D295" s="4"/>
      <c r="E295" s="25"/>
      <c r="F295" s="25"/>
      <c r="G295" s="25"/>
      <c r="H295" s="25"/>
      <c r="I295" s="25"/>
      <c r="J295" s="25"/>
      <c r="K295" s="112"/>
      <c r="L295" s="113"/>
      <c r="M295" s="105"/>
    </row>
    <row r="296" spans="1:13" s="77" customFormat="1" ht="24.75" customHeight="1">
      <c r="A296" s="402"/>
      <c r="B296" s="449" t="s">
        <v>40</v>
      </c>
      <c r="C296" s="450"/>
      <c r="D296" s="8">
        <v>2017</v>
      </c>
      <c r="E296" s="46">
        <f>F296+G296+J296+K296</f>
        <v>26434.284</v>
      </c>
      <c r="F296" s="179">
        <f>G296+H296</f>
        <v>0</v>
      </c>
      <c r="G296" s="179">
        <f>H296+I296</f>
        <v>0</v>
      </c>
      <c r="H296" s="180">
        <f>H197+H198</f>
        <v>0</v>
      </c>
      <c r="I296" s="180">
        <f>I197+I198</f>
        <v>0</v>
      </c>
      <c r="J296" s="46">
        <f>J197+J198</f>
        <v>26434.284</v>
      </c>
      <c r="K296" s="46">
        <v>0</v>
      </c>
      <c r="L296" s="5"/>
      <c r="M296" s="24"/>
    </row>
    <row r="297" spans="1:13" s="77" customFormat="1" ht="24.75" customHeight="1">
      <c r="A297" s="402"/>
      <c r="B297" s="451"/>
      <c r="C297" s="452"/>
      <c r="D297" s="8">
        <v>2018</v>
      </c>
      <c r="E297" s="46">
        <f>F297+G297+J297+K297</f>
        <v>29674.233</v>
      </c>
      <c r="F297" s="179">
        <f>G297+H297</f>
        <v>0</v>
      </c>
      <c r="G297" s="179">
        <f>H297+I297</f>
        <v>0</v>
      </c>
      <c r="H297" s="180">
        <f>H199</f>
        <v>0</v>
      </c>
      <c r="I297" s="180">
        <f>I199</f>
        <v>0</v>
      </c>
      <c r="J297" s="46">
        <f>J199+J248</f>
        <v>29674.233</v>
      </c>
      <c r="K297" s="180">
        <v>0</v>
      </c>
      <c r="L297" s="5"/>
      <c r="M297" s="24"/>
    </row>
    <row r="298" spans="1:13" s="77" customFormat="1" ht="24.75" customHeight="1">
      <c r="A298" s="402"/>
      <c r="B298" s="451"/>
      <c r="C298" s="452"/>
      <c r="D298" s="8">
        <v>2019</v>
      </c>
      <c r="E298" s="46">
        <f aca="true" t="shared" si="50" ref="E298:K298">E215+E256+E262+E236+E274</f>
        <v>27583.2734</v>
      </c>
      <c r="F298" s="46">
        <f t="shared" si="50"/>
        <v>0</v>
      </c>
      <c r="G298" s="46">
        <f t="shared" si="50"/>
        <v>1436</v>
      </c>
      <c r="H298" s="46">
        <f t="shared" si="50"/>
        <v>0</v>
      </c>
      <c r="I298" s="46">
        <f t="shared" si="50"/>
        <v>1436</v>
      </c>
      <c r="J298" s="46">
        <f>J215+J256+J262+J236+J274</f>
        <v>26147.2734</v>
      </c>
      <c r="K298" s="46">
        <f t="shared" si="50"/>
        <v>0</v>
      </c>
      <c r="L298" s="5"/>
      <c r="M298" s="24"/>
    </row>
    <row r="299" spans="1:13" s="77" customFormat="1" ht="24.75" customHeight="1">
      <c r="A299" s="402"/>
      <c r="B299" s="451"/>
      <c r="C299" s="452"/>
      <c r="D299" s="8">
        <v>2020</v>
      </c>
      <c r="E299" s="46">
        <f aca="true" t="shared" si="51" ref="E299:K299">E230+E238+E259+E263+E277</f>
        <v>11000</v>
      </c>
      <c r="F299" s="46">
        <f t="shared" si="51"/>
        <v>0</v>
      </c>
      <c r="G299" s="46">
        <f t="shared" si="51"/>
        <v>0</v>
      </c>
      <c r="H299" s="46">
        <f t="shared" si="51"/>
        <v>0</v>
      </c>
      <c r="I299" s="46">
        <f t="shared" si="51"/>
        <v>0</v>
      </c>
      <c r="J299" s="46">
        <f t="shared" si="51"/>
        <v>11000</v>
      </c>
      <c r="K299" s="46">
        <f t="shared" si="51"/>
        <v>0</v>
      </c>
      <c r="L299" s="5"/>
      <c r="M299" s="24"/>
    </row>
    <row r="300" spans="1:13" s="77" customFormat="1" ht="24.75" customHeight="1">
      <c r="A300" s="402"/>
      <c r="B300" s="451"/>
      <c r="C300" s="452"/>
      <c r="D300" s="8">
        <v>2021</v>
      </c>
      <c r="E300" s="46">
        <f aca="true" t="shared" si="52" ref="E300:K300">E232+E239+E260+E264+E278</f>
        <v>22888.568</v>
      </c>
      <c r="F300" s="46">
        <f t="shared" si="52"/>
        <v>0</v>
      </c>
      <c r="G300" s="46">
        <f t="shared" si="52"/>
        <v>0</v>
      </c>
      <c r="H300" s="46">
        <f t="shared" si="52"/>
        <v>0</v>
      </c>
      <c r="I300" s="46">
        <f t="shared" si="52"/>
        <v>0</v>
      </c>
      <c r="J300" s="46">
        <f t="shared" si="52"/>
        <v>22888.568</v>
      </c>
      <c r="K300" s="46">
        <f t="shared" si="52"/>
        <v>0</v>
      </c>
      <c r="L300" s="5"/>
      <c r="M300" s="24"/>
    </row>
    <row r="301" spans="1:13" s="77" customFormat="1" ht="24.75" customHeight="1">
      <c r="A301" s="402"/>
      <c r="B301" s="453"/>
      <c r="C301" s="454"/>
      <c r="D301" s="8">
        <v>2022</v>
      </c>
      <c r="E301" s="46">
        <f aca="true" t="shared" si="53" ref="E301:K301">E234+E261+E265+E279</f>
        <v>20972.961</v>
      </c>
      <c r="F301" s="46">
        <f t="shared" si="53"/>
        <v>0</v>
      </c>
      <c r="G301" s="46">
        <f t="shared" si="53"/>
        <v>0</v>
      </c>
      <c r="H301" s="46">
        <f t="shared" si="53"/>
        <v>0</v>
      </c>
      <c r="I301" s="46">
        <f t="shared" si="53"/>
        <v>0</v>
      </c>
      <c r="J301" s="46">
        <f t="shared" si="53"/>
        <v>20972.961</v>
      </c>
      <c r="K301" s="46">
        <f t="shared" si="53"/>
        <v>0</v>
      </c>
      <c r="L301" s="5"/>
      <c r="M301" s="24"/>
    </row>
    <row r="302" spans="1:13" s="77" customFormat="1" ht="27" customHeight="1">
      <c r="A302" s="427" t="s">
        <v>107</v>
      </c>
      <c r="B302" s="474"/>
      <c r="C302" s="474"/>
      <c r="D302" s="474"/>
      <c r="E302" s="474"/>
      <c r="F302" s="474"/>
      <c r="G302" s="474"/>
      <c r="H302" s="474"/>
      <c r="I302" s="474"/>
      <c r="J302" s="474"/>
      <c r="K302" s="474"/>
      <c r="L302" s="474"/>
      <c r="M302" s="475"/>
    </row>
    <row r="303" spans="1:13" s="77" customFormat="1" ht="29.25" customHeight="1">
      <c r="A303" s="426" t="s">
        <v>60</v>
      </c>
      <c r="B303" s="465"/>
      <c r="C303" s="465"/>
      <c r="D303" s="465"/>
      <c r="E303" s="465"/>
      <c r="F303" s="465"/>
      <c r="G303" s="465"/>
      <c r="H303" s="465"/>
      <c r="I303" s="465"/>
      <c r="J303" s="465"/>
      <c r="K303" s="465"/>
      <c r="L303" s="466"/>
      <c r="M303" s="467"/>
    </row>
    <row r="304" spans="1:13" s="77" customFormat="1" ht="27" customHeight="1">
      <c r="A304" s="426" t="s">
        <v>143</v>
      </c>
      <c r="B304" s="465"/>
      <c r="C304" s="465"/>
      <c r="D304" s="465"/>
      <c r="E304" s="465"/>
      <c r="F304" s="465"/>
      <c r="G304" s="465"/>
      <c r="H304" s="465"/>
      <c r="I304" s="465"/>
      <c r="J304" s="465"/>
      <c r="K304" s="499"/>
      <c r="L304" s="9"/>
      <c r="M304" s="24"/>
    </row>
    <row r="305" spans="1:13" s="77" customFormat="1" ht="49.5" customHeight="1">
      <c r="A305" s="372" t="s">
        <v>92</v>
      </c>
      <c r="B305" s="459" t="s">
        <v>144</v>
      </c>
      <c r="C305" s="460"/>
      <c r="D305" s="4">
        <v>2017</v>
      </c>
      <c r="E305" s="47">
        <f aca="true" t="shared" si="54" ref="E305:E314">F305+G305+J305+K305</f>
        <v>200580.416</v>
      </c>
      <c r="F305" s="47">
        <f>F306+F307+F308+F310+F311+F312+F313</f>
        <v>124615.2</v>
      </c>
      <c r="G305" s="25">
        <f>H305+I305</f>
        <v>727</v>
      </c>
      <c r="H305" s="25">
        <f>H306+H307+H308+H310+H311+H312+H313</f>
        <v>0</v>
      </c>
      <c r="I305" s="25">
        <f>I306+I307+I308+I310+I311+I312+I313</f>
        <v>727</v>
      </c>
      <c r="J305" s="25">
        <f>J306+J307+J308+J310+J311+J312+J313</f>
        <v>75238.216</v>
      </c>
      <c r="K305" s="25">
        <f>K306+K307+K308+K310+K311+K312+K313</f>
        <v>0</v>
      </c>
      <c r="L305" s="9"/>
      <c r="M305" s="358" t="s">
        <v>69</v>
      </c>
    </row>
    <row r="306" spans="1:13" s="77" customFormat="1" ht="27" customHeight="1">
      <c r="A306" s="372"/>
      <c r="B306" s="461"/>
      <c r="C306" s="462"/>
      <c r="D306" s="53"/>
      <c r="E306" s="47">
        <f t="shared" si="54"/>
        <v>64776.86</v>
      </c>
      <c r="F306" s="22">
        <v>54731.8</v>
      </c>
      <c r="G306" s="27">
        <f>H306+I306</f>
        <v>0</v>
      </c>
      <c r="H306" s="22"/>
      <c r="I306" s="22"/>
      <c r="J306" s="22">
        <v>10045.06</v>
      </c>
      <c r="K306" s="23">
        <v>0</v>
      </c>
      <c r="L306" s="3" t="s">
        <v>10</v>
      </c>
      <c r="M306" s="358"/>
    </row>
    <row r="307" spans="1:13" s="77" customFormat="1" ht="27" customHeight="1">
      <c r="A307" s="372"/>
      <c r="B307" s="461"/>
      <c r="C307" s="462"/>
      <c r="D307" s="8"/>
      <c r="E307" s="47">
        <f t="shared" si="54"/>
        <v>20018.813</v>
      </c>
      <c r="F307" s="22"/>
      <c r="G307" s="27">
        <f aca="true" t="shared" si="55" ref="G307:G313">H307+I307</f>
        <v>0</v>
      </c>
      <c r="H307" s="22"/>
      <c r="I307" s="22"/>
      <c r="J307" s="22">
        <v>20018.813</v>
      </c>
      <c r="K307" s="23">
        <v>0</v>
      </c>
      <c r="L307" s="3" t="s">
        <v>33</v>
      </c>
      <c r="M307" s="358"/>
    </row>
    <row r="308" spans="1:13" s="77" customFormat="1" ht="27" customHeight="1">
      <c r="A308" s="372"/>
      <c r="B308" s="461"/>
      <c r="C308" s="462"/>
      <c r="D308" s="8"/>
      <c r="E308" s="47">
        <f t="shared" si="54"/>
        <v>13226.366</v>
      </c>
      <c r="F308" s="22"/>
      <c r="G308" s="27">
        <f t="shared" si="55"/>
        <v>0</v>
      </c>
      <c r="H308" s="22"/>
      <c r="I308" s="22"/>
      <c r="J308" s="22">
        <v>13226.366</v>
      </c>
      <c r="K308" s="23">
        <v>0</v>
      </c>
      <c r="L308" s="3" t="s">
        <v>34</v>
      </c>
      <c r="M308" s="358"/>
    </row>
    <row r="309" spans="1:13" s="77" customFormat="1" ht="27" customHeight="1">
      <c r="A309" s="372"/>
      <c r="B309" s="461"/>
      <c r="C309" s="462"/>
      <c r="D309" s="8"/>
      <c r="E309" s="47"/>
      <c r="F309" s="22"/>
      <c r="G309" s="27"/>
      <c r="H309" s="22"/>
      <c r="I309" s="22"/>
      <c r="J309" s="22"/>
      <c r="K309" s="23"/>
      <c r="L309" s="3"/>
      <c r="M309" s="358"/>
    </row>
    <row r="310" spans="1:13" s="77" customFormat="1" ht="27" customHeight="1">
      <c r="A310" s="372"/>
      <c r="B310" s="461"/>
      <c r="C310" s="462"/>
      <c r="D310" s="8"/>
      <c r="E310" s="47">
        <f t="shared" si="54"/>
        <v>77631.458</v>
      </c>
      <c r="F310" s="22">
        <v>69883.4</v>
      </c>
      <c r="G310" s="27">
        <f t="shared" si="55"/>
        <v>0</v>
      </c>
      <c r="H310" s="22"/>
      <c r="I310" s="22"/>
      <c r="J310" s="22">
        <v>7748.058</v>
      </c>
      <c r="K310" s="23">
        <v>0</v>
      </c>
      <c r="L310" s="3" t="s">
        <v>35</v>
      </c>
      <c r="M310" s="358"/>
    </row>
    <row r="311" spans="1:13" s="77" customFormat="1" ht="29.25" customHeight="1">
      <c r="A311" s="372"/>
      <c r="B311" s="461"/>
      <c r="C311" s="462"/>
      <c r="D311" s="8"/>
      <c r="E311" s="47">
        <f t="shared" si="54"/>
        <v>8225.922</v>
      </c>
      <c r="F311" s="10"/>
      <c r="G311" s="27">
        <f t="shared" si="55"/>
        <v>0</v>
      </c>
      <c r="H311" s="22"/>
      <c r="I311" s="22"/>
      <c r="J311" s="22">
        <v>8225.922</v>
      </c>
      <c r="K311" s="23">
        <v>0</v>
      </c>
      <c r="L311" s="3" t="s">
        <v>21</v>
      </c>
      <c r="M311" s="358"/>
    </row>
    <row r="312" spans="1:13" s="77" customFormat="1" ht="32.25" customHeight="1">
      <c r="A312" s="372"/>
      <c r="B312" s="461"/>
      <c r="C312" s="462"/>
      <c r="D312" s="8"/>
      <c r="E312" s="47">
        <f t="shared" si="54"/>
        <v>11386.085</v>
      </c>
      <c r="F312" s="10"/>
      <c r="G312" s="27">
        <f t="shared" si="55"/>
        <v>0</v>
      </c>
      <c r="H312" s="22"/>
      <c r="I312" s="22"/>
      <c r="J312" s="22">
        <v>11386.085</v>
      </c>
      <c r="K312" s="23">
        <v>0</v>
      </c>
      <c r="L312" s="3" t="s">
        <v>36</v>
      </c>
      <c r="M312" s="358"/>
    </row>
    <row r="313" spans="1:13" s="77" customFormat="1" ht="41.25" customHeight="1">
      <c r="A313" s="372"/>
      <c r="B313" s="461"/>
      <c r="C313" s="462"/>
      <c r="D313" s="8"/>
      <c r="E313" s="47">
        <f t="shared" si="54"/>
        <v>5314.912</v>
      </c>
      <c r="F313" s="10"/>
      <c r="G313" s="27">
        <f t="shared" si="55"/>
        <v>727</v>
      </c>
      <c r="H313" s="22">
        <v>0</v>
      </c>
      <c r="I313" s="22">
        <v>727</v>
      </c>
      <c r="J313" s="22">
        <f>5287.912-700</f>
        <v>4587.912</v>
      </c>
      <c r="K313" s="23">
        <v>0</v>
      </c>
      <c r="L313" s="3" t="s">
        <v>39</v>
      </c>
      <c r="M313" s="358"/>
    </row>
    <row r="314" spans="1:13" s="77" customFormat="1" ht="69" customHeight="1">
      <c r="A314" s="372"/>
      <c r="B314" s="463"/>
      <c r="C314" s="464"/>
      <c r="D314" s="8">
        <v>2017</v>
      </c>
      <c r="E314" s="47">
        <f t="shared" si="54"/>
        <v>16200</v>
      </c>
      <c r="F314" s="48"/>
      <c r="G314" s="48">
        <f>H314+I314</f>
        <v>0</v>
      </c>
      <c r="H314" s="48">
        <v>0</v>
      </c>
      <c r="I314" s="48">
        <v>0</v>
      </c>
      <c r="J314" s="48">
        <v>16200</v>
      </c>
      <c r="K314" s="48">
        <v>0</v>
      </c>
      <c r="L314" s="3" t="s">
        <v>43</v>
      </c>
      <c r="M314" s="358"/>
    </row>
    <row r="315" spans="1:13" s="77" customFormat="1" ht="27" customHeight="1" hidden="1" thickBot="1">
      <c r="A315" s="82"/>
      <c r="B315" s="49"/>
      <c r="C315" s="49"/>
      <c r="D315" s="8"/>
      <c r="E315" s="47">
        <f>F315+G315+J315+K315</f>
        <v>0</v>
      </c>
      <c r="F315" s="48"/>
      <c r="G315" s="48"/>
      <c r="H315" s="48"/>
      <c r="I315" s="48"/>
      <c r="J315" s="22"/>
      <c r="K315" s="22"/>
      <c r="L315" s="3"/>
      <c r="M315" s="358"/>
    </row>
    <row r="316" spans="1:13" s="77" customFormat="1" ht="24.75" customHeight="1">
      <c r="A316" s="372" t="s">
        <v>93</v>
      </c>
      <c r="B316" s="396" t="s">
        <v>94</v>
      </c>
      <c r="C316" s="397"/>
      <c r="D316" s="379">
        <v>2018</v>
      </c>
      <c r="E316" s="47">
        <f>F316+G316+J316+K316</f>
        <v>209116.99978</v>
      </c>
      <c r="F316" s="47">
        <f>SUM(F317:F323)</f>
        <v>137344.5</v>
      </c>
      <c r="G316" s="47">
        <f>H316+I316</f>
        <v>1006.9820000000001</v>
      </c>
      <c r="H316" s="47">
        <f>H317+H318+H319+H320+H321+H322+H323</f>
        <v>0</v>
      </c>
      <c r="I316" s="47">
        <f>SUM(I317:I323)</f>
        <v>1006.9820000000001</v>
      </c>
      <c r="J316" s="47">
        <f>J317+J318+J319+J320+J321+J322+J323</f>
        <v>70765.51778000001</v>
      </c>
      <c r="K316" s="48">
        <v>0</v>
      </c>
      <c r="L316" s="3"/>
      <c r="M316" s="358"/>
    </row>
    <row r="317" spans="1:13" s="77" customFormat="1" ht="24.75" customHeight="1">
      <c r="A317" s="372"/>
      <c r="B317" s="398"/>
      <c r="C317" s="399"/>
      <c r="D317" s="379"/>
      <c r="E317" s="47">
        <f aca="true" t="shared" si="56" ref="E317:E329">F317+G317+J317+K317</f>
        <v>23993.106</v>
      </c>
      <c r="F317" s="10">
        <f>13666.243+401.723+232.4</f>
        <v>14300.366</v>
      </c>
      <c r="G317" s="47">
        <f>H317+I317</f>
        <v>0</v>
      </c>
      <c r="H317" s="10"/>
      <c r="I317" s="54"/>
      <c r="J317" s="10">
        <f>9852.084+390.21-2100+341.676+175.77+33+1000</f>
        <v>9692.74</v>
      </c>
      <c r="K317" s="22">
        <v>0</v>
      </c>
      <c r="L317" s="3" t="s">
        <v>10</v>
      </c>
      <c r="M317" s="358"/>
    </row>
    <row r="318" spans="1:13" s="77" customFormat="1" ht="24.75" customHeight="1">
      <c r="A318" s="372"/>
      <c r="B318" s="398"/>
      <c r="C318" s="399"/>
      <c r="D318" s="379"/>
      <c r="E318" s="47">
        <f t="shared" si="56"/>
        <v>50093.08377</v>
      </c>
      <c r="F318" s="10">
        <f>29992.565+858.854</f>
        <v>30851.418999999998</v>
      </c>
      <c r="G318" s="47">
        <f aca="true" t="shared" si="57" ref="G318:G323">H318+I318</f>
        <v>0</v>
      </c>
      <c r="H318" s="10"/>
      <c r="I318" s="54"/>
      <c r="J318" s="10">
        <f>20130.966+919.02-4300+766.8+389.718+170+1165.16077</f>
        <v>19241.66477</v>
      </c>
      <c r="K318" s="22">
        <v>0</v>
      </c>
      <c r="L318" s="3" t="s">
        <v>33</v>
      </c>
      <c r="M318" s="358"/>
    </row>
    <row r="319" spans="1:13" s="77" customFormat="1" ht="24.75" customHeight="1">
      <c r="A319" s="372"/>
      <c r="B319" s="398"/>
      <c r="C319" s="399"/>
      <c r="D319" s="379"/>
      <c r="E319" s="47">
        <f t="shared" si="56"/>
        <v>28049.476</v>
      </c>
      <c r="F319" s="10">
        <f>14985.192+401.723</f>
        <v>15386.914999999999</v>
      </c>
      <c r="G319" s="47">
        <f t="shared" si="57"/>
        <v>0</v>
      </c>
      <c r="H319" s="10"/>
      <c r="I319" s="54"/>
      <c r="J319" s="10">
        <f>13529.638+429.793-2900+367.83+195.3+40+1000</f>
        <v>12662.561</v>
      </c>
      <c r="K319" s="22">
        <v>0</v>
      </c>
      <c r="L319" s="3" t="s">
        <v>34</v>
      </c>
      <c r="M319" s="358"/>
    </row>
    <row r="320" spans="1:13" s="77" customFormat="1" ht="24.75" customHeight="1">
      <c r="A320" s="372"/>
      <c r="B320" s="398"/>
      <c r="C320" s="399"/>
      <c r="D320" s="379"/>
      <c r="E320" s="47">
        <f t="shared" si="56"/>
        <v>42507.873999999996</v>
      </c>
      <c r="F320" s="10">
        <f>30680.494+2764.647+1578.681</f>
        <v>35023.82199999999</v>
      </c>
      <c r="G320" s="47">
        <f t="shared" si="57"/>
        <v>0</v>
      </c>
      <c r="H320" s="10"/>
      <c r="I320" s="54"/>
      <c r="J320" s="10">
        <f>8048.81-1700+345.242-210+1000</f>
        <v>7484.052000000001</v>
      </c>
      <c r="K320" s="22">
        <v>0</v>
      </c>
      <c r="L320" s="3" t="s">
        <v>35</v>
      </c>
      <c r="M320" s="358"/>
    </row>
    <row r="321" spans="1:13" s="77" customFormat="1" ht="24.75" customHeight="1">
      <c r="A321" s="372"/>
      <c r="B321" s="398"/>
      <c r="C321" s="399"/>
      <c r="D321" s="379"/>
      <c r="E321" s="47">
        <f t="shared" si="56"/>
        <v>50010.63799999999</v>
      </c>
      <c r="F321" s="10">
        <f>39719.506+177.753+1884.719</f>
        <v>41781.977999999996</v>
      </c>
      <c r="G321" s="47">
        <f t="shared" si="57"/>
        <v>0</v>
      </c>
      <c r="H321" s="10"/>
      <c r="I321" s="54"/>
      <c r="J321" s="10">
        <f>8631.55-1800+397.11+1000</f>
        <v>8228.66</v>
      </c>
      <c r="K321" s="22">
        <v>0</v>
      </c>
      <c r="L321" s="3" t="s">
        <v>21</v>
      </c>
      <c r="M321" s="358"/>
    </row>
    <row r="322" spans="1:13" s="77" customFormat="1" ht="24.75" customHeight="1">
      <c r="A322" s="372"/>
      <c r="B322" s="398"/>
      <c r="C322" s="399"/>
      <c r="D322" s="379"/>
      <c r="E322" s="47">
        <f t="shared" si="56"/>
        <v>9699.46648</v>
      </c>
      <c r="F322" s="47"/>
      <c r="G322" s="47">
        <f t="shared" si="57"/>
        <v>1006.9820000000001</v>
      </c>
      <c r="H322" s="10">
        <v>0</v>
      </c>
      <c r="I322" s="10">
        <f>607.273+227.345+172.364</f>
        <v>1006.9820000000001</v>
      </c>
      <c r="J322" s="10">
        <f>10509.141+105.556-2200-617.733+133+762.52048</f>
        <v>8692.48448</v>
      </c>
      <c r="K322" s="22">
        <v>0</v>
      </c>
      <c r="L322" s="3" t="s">
        <v>36</v>
      </c>
      <c r="M322" s="358"/>
    </row>
    <row r="323" spans="1:13" s="77" customFormat="1" ht="35.25" customHeight="1">
      <c r="A323" s="372"/>
      <c r="B323" s="398"/>
      <c r="C323" s="399"/>
      <c r="D323" s="379"/>
      <c r="E323" s="47">
        <f t="shared" si="56"/>
        <v>4763.355530000001</v>
      </c>
      <c r="F323" s="47"/>
      <c r="G323" s="47">
        <f t="shared" si="57"/>
        <v>0</v>
      </c>
      <c r="H323" s="10"/>
      <c r="I323" s="10">
        <v>0</v>
      </c>
      <c r="J323" s="10">
        <f>4700.622+104.16-92.24918+50.82271</f>
        <v>4763.355530000001</v>
      </c>
      <c r="K323" s="22">
        <v>0</v>
      </c>
      <c r="L323" s="3" t="s">
        <v>58</v>
      </c>
      <c r="M323" s="358"/>
    </row>
    <row r="324" spans="1:13" s="77" customFormat="1" ht="24.75" customHeight="1">
      <c r="A324" s="372"/>
      <c r="B324" s="398"/>
      <c r="C324" s="399"/>
      <c r="D324" s="379">
        <v>2018</v>
      </c>
      <c r="E324" s="47">
        <f t="shared" si="56"/>
        <v>0</v>
      </c>
      <c r="F324" s="47">
        <f>SUM(F325:F329)</f>
        <v>0</v>
      </c>
      <c r="G324" s="47">
        <f>SUM(G325:G329)</f>
        <v>0</v>
      </c>
      <c r="H324" s="47">
        <f>SUM(H325:H329)</f>
        <v>0</v>
      </c>
      <c r="I324" s="47">
        <f>SUM(I325:I329)</f>
        <v>0</v>
      </c>
      <c r="J324" s="47">
        <f>SUM(J325:J329)</f>
        <v>0</v>
      </c>
      <c r="K324" s="48"/>
      <c r="L324" s="39"/>
      <c r="M324" s="358"/>
    </row>
    <row r="325" spans="1:13" s="77" customFormat="1" ht="24.75" customHeight="1">
      <c r="A325" s="372"/>
      <c r="B325" s="398"/>
      <c r="C325" s="399"/>
      <c r="D325" s="379"/>
      <c r="E325" s="47">
        <f t="shared" si="56"/>
        <v>0</v>
      </c>
      <c r="F325" s="21"/>
      <c r="G325" s="47">
        <f aca="true" t="shared" si="58" ref="G325:G339">H325+I325</f>
        <v>0</v>
      </c>
      <c r="H325" s="10"/>
      <c r="I325" s="10"/>
      <c r="J325" s="10">
        <v>0</v>
      </c>
      <c r="K325" s="22"/>
      <c r="L325" s="3" t="s">
        <v>10</v>
      </c>
      <c r="M325" s="358"/>
    </row>
    <row r="326" spans="1:13" s="77" customFormat="1" ht="24.75" customHeight="1">
      <c r="A326" s="372"/>
      <c r="B326" s="398"/>
      <c r="C326" s="399"/>
      <c r="D326" s="379"/>
      <c r="E326" s="47">
        <f t="shared" si="56"/>
        <v>0</v>
      </c>
      <c r="F326" s="21"/>
      <c r="G326" s="47">
        <f t="shared" si="58"/>
        <v>0</v>
      </c>
      <c r="H326" s="10"/>
      <c r="I326" s="10"/>
      <c r="J326" s="10">
        <v>0</v>
      </c>
      <c r="K326" s="22"/>
      <c r="L326" s="3" t="s">
        <v>33</v>
      </c>
      <c r="M326" s="358"/>
    </row>
    <row r="327" spans="1:13" s="77" customFormat="1" ht="24.75" customHeight="1">
      <c r="A327" s="372"/>
      <c r="B327" s="398"/>
      <c r="C327" s="399"/>
      <c r="D327" s="379"/>
      <c r="E327" s="47">
        <f t="shared" si="56"/>
        <v>0</v>
      </c>
      <c r="F327" s="21"/>
      <c r="G327" s="47">
        <f t="shared" si="58"/>
        <v>0</v>
      </c>
      <c r="H327" s="10"/>
      <c r="I327" s="10"/>
      <c r="J327" s="10">
        <v>0</v>
      </c>
      <c r="K327" s="22"/>
      <c r="L327" s="3" t="s">
        <v>34</v>
      </c>
      <c r="M327" s="358"/>
    </row>
    <row r="328" spans="1:13" s="77" customFormat="1" ht="24.75" customHeight="1">
      <c r="A328" s="372"/>
      <c r="B328" s="398"/>
      <c r="C328" s="399"/>
      <c r="D328" s="379"/>
      <c r="E328" s="47">
        <f t="shared" si="56"/>
        <v>0</v>
      </c>
      <c r="F328" s="21"/>
      <c r="G328" s="47">
        <f t="shared" si="58"/>
        <v>0</v>
      </c>
      <c r="H328" s="10"/>
      <c r="I328" s="10"/>
      <c r="J328" s="10">
        <v>0</v>
      </c>
      <c r="K328" s="22"/>
      <c r="L328" s="3" t="s">
        <v>35</v>
      </c>
      <c r="M328" s="358"/>
    </row>
    <row r="329" spans="1:13" s="77" customFormat="1" ht="24.75" customHeight="1">
      <c r="A329" s="372"/>
      <c r="B329" s="398"/>
      <c r="C329" s="399"/>
      <c r="D329" s="379"/>
      <c r="E329" s="47">
        <f t="shared" si="56"/>
        <v>0</v>
      </c>
      <c r="F329" s="21"/>
      <c r="G329" s="47">
        <f t="shared" si="58"/>
        <v>0</v>
      </c>
      <c r="H329" s="10"/>
      <c r="I329" s="10"/>
      <c r="J329" s="10">
        <v>0</v>
      </c>
      <c r="K329" s="22"/>
      <c r="L329" s="3" t="s">
        <v>21</v>
      </c>
      <c r="M329" s="358"/>
    </row>
    <row r="330" spans="1:13" s="77" customFormat="1" ht="24.75" customHeight="1">
      <c r="A330" s="372"/>
      <c r="B330" s="398"/>
      <c r="C330" s="399"/>
      <c r="D330" s="379">
        <v>2019</v>
      </c>
      <c r="E330" s="48">
        <f>F330+G330+J330+K330</f>
        <v>229770.53044</v>
      </c>
      <c r="F330" s="48">
        <f>SUM(F331:F339)</f>
        <v>150533.8</v>
      </c>
      <c r="G330" s="48">
        <f t="shared" si="58"/>
        <v>1276.052</v>
      </c>
      <c r="H330" s="48">
        <f>H331+H332+H333+H334+H335+H337+H339</f>
        <v>0</v>
      </c>
      <c r="I330" s="48">
        <f>I331+I332+I333+I334+I335+I337+I339</f>
        <v>1276.052</v>
      </c>
      <c r="J330" s="48">
        <f>SUM(J331:J339)</f>
        <v>77960.67844000002</v>
      </c>
      <c r="K330" s="48">
        <f>SUM(K331:K339)</f>
        <v>0</v>
      </c>
      <c r="L330" s="3"/>
      <c r="M330" s="358"/>
    </row>
    <row r="331" spans="1:13" s="77" customFormat="1" ht="24.75" customHeight="1">
      <c r="A331" s="372"/>
      <c r="B331" s="398"/>
      <c r="C331" s="399"/>
      <c r="D331" s="379"/>
      <c r="E331" s="22">
        <f aca="true" t="shared" si="59" ref="E331:E349">F331+G331+J331+K331</f>
        <v>24241.684</v>
      </c>
      <c r="F331" s="22">
        <f>13252.661+1120.6</f>
        <v>14373.261</v>
      </c>
      <c r="G331" s="22">
        <f t="shared" si="58"/>
        <v>0</v>
      </c>
      <c r="H331" s="22"/>
      <c r="I331" s="22"/>
      <c r="J331" s="22">
        <f>9770.96256+1.65244--30+65.808</f>
        <v>9868.423</v>
      </c>
      <c r="K331" s="22">
        <v>0</v>
      </c>
      <c r="L331" s="3" t="s">
        <v>10</v>
      </c>
      <c r="M331" s="358"/>
    </row>
    <row r="332" spans="1:13" s="77" customFormat="1" ht="24.75" customHeight="1">
      <c r="A332" s="372"/>
      <c r="B332" s="398"/>
      <c r="C332" s="399"/>
      <c r="D332" s="379"/>
      <c r="E332" s="22">
        <f t="shared" si="59"/>
        <v>49871.14725</v>
      </c>
      <c r="F332" s="22">
        <f>29522.977-533.6</f>
        <v>28989.377</v>
      </c>
      <c r="G332" s="22">
        <f t="shared" si="58"/>
        <v>0</v>
      </c>
      <c r="H332" s="22"/>
      <c r="I332" s="22"/>
      <c r="J332" s="22">
        <f>20596.83525-30+314.935</f>
        <v>20881.77025</v>
      </c>
      <c r="K332" s="22">
        <v>0</v>
      </c>
      <c r="L332" s="3" t="s">
        <v>33</v>
      </c>
      <c r="M332" s="358"/>
    </row>
    <row r="333" spans="1:13" s="77" customFormat="1" ht="24.75" customHeight="1">
      <c r="A333" s="372"/>
      <c r="B333" s="398"/>
      <c r="C333" s="399"/>
      <c r="D333" s="379"/>
      <c r="E333" s="22">
        <f t="shared" si="59"/>
        <v>29872.57956</v>
      </c>
      <c r="F333" s="22">
        <f>15424.362+117.4</f>
        <v>15541.761999999999</v>
      </c>
      <c r="G333" s="22">
        <f t="shared" si="58"/>
        <v>0</v>
      </c>
      <c r="H333" s="22"/>
      <c r="I333" s="22"/>
      <c r="J333" s="22">
        <f>12530.84+998.142-1.65244+803.488</f>
        <v>14330.81756</v>
      </c>
      <c r="K333" s="22">
        <v>0</v>
      </c>
      <c r="L333" s="3" t="s">
        <v>34</v>
      </c>
      <c r="M333" s="358"/>
    </row>
    <row r="334" spans="1:13" s="77" customFormat="1" ht="24.75" customHeight="1">
      <c r="A334" s="372"/>
      <c r="B334" s="398"/>
      <c r="C334" s="399"/>
      <c r="D334" s="379"/>
      <c r="E334" s="22">
        <f t="shared" si="59"/>
        <v>49171.80562000001</v>
      </c>
      <c r="F334" s="22">
        <f>39746.014+486.427+1812.116</f>
        <v>42044.55700000001</v>
      </c>
      <c r="G334" s="22">
        <f t="shared" si="58"/>
        <v>0</v>
      </c>
      <c r="H334" s="22"/>
      <c r="I334" s="22"/>
      <c r="J334" s="22">
        <f>6993.76062+133.488</f>
        <v>7127.24862</v>
      </c>
      <c r="K334" s="22">
        <v>0</v>
      </c>
      <c r="L334" s="3" t="s">
        <v>35</v>
      </c>
      <c r="M334" s="358"/>
    </row>
    <row r="335" spans="1:13" s="77" customFormat="1" ht="24.75" customHeight="1">
      <c r="A335" s="372"/>
      <c r="B335" s="398"/>
      <c r="C335" s="399"/>
      <c r="D335" s="379"/>
      <c r="E335" s="22">
        <f t="shared" si="59"/>
        <v>57432.95017</v>
      </c>
      <c r="F335" s="22">
        <f>46911.986+528.073+2144.784</f>
        <v>49584.84299999999</v>
      </c>
      <c r="G335" s="22">
        <f t="shared" si="58"/>
        <v>0</v>
      </c>
      <c r="H335" s="22"/>
      <c r="I335" s="22"/>
      <c r="J335" s="22">
        <f>7595.99717+252.11</f>
        <v>7848.107169999999</v>
      </c>
      <c r="K335" s="22">
        <v>0</v>
      </c>
      <c r="L335" s="3" t="s">
        <v>21</v>
      </c>
      <c r="M335" s="358"/>
    </row>
    <row r="336" spans="1:13" s="77" customFormat="1" ht="24.75" customHeight="1">
      <c r="A336" s="372"/>
      <c r="B336" s="398"/>
      <c r="C336" s="399"/>
      <c r="D336" s="379"/>
      <c r="E336" s="22">
        <f t="shared" si="59"/>
        <v>5966.100090000001</v>
      </c>
      <c r="F336" s="22">
        <v>0</v>
      </c>
      <c r="G336" s="22">
        <f t="shared" si="58"/>
        <v>0</v>
      </c>
      <c r="H336" s="22"/>
      <c r="I336" s="22"/>
      <c r="J336" s="22">
        <f>4712.3+667.168+264.33597+127.27612+136.43+58.59</f>
        <v>5966.100090000001</v>
      </c>
      <c r="K336" s="22">
        <v>0</v>
      </c>
      <c r="L336" s="3" t="s">
        <v>160</v>
      </c>
      <c r="M336" s="358"/>
    </row>
    <row r="337" spans="1:13" s="77" customFormat="1" ht="24.75" customHeight="1">
      <c r="A337" s="372"/>
      <c r="B337" s="398"/>
      <c r="C337" s="399"/>
      <c r="D337" s="379"/>
      <c r="E337" s="22">
        <f t="shared" si="59"/>
        <v>5395.09146</v>
      </c>
      <c r="F337" s="22">
        <v>0</v>
      </c>
      <c r="G337" s="22">
        <f t="shared" si="58"/>
        <v>0</v>
      </c>
      <c r="H337" s="22"/>
      <c r="I337" s="22"/>
      <c r="J337" s="22">
        <f>5746.63146-351.54</f>
        <v>5395.09146</v>
      </c>
      <c r="K337" s="22">
        <v>0</v>
      </c>
      <c r="L337" s="3" t="s">
        <v>159</v>
      </c>
      <c r="M337" s="358"/>
    </row>
    <row r="338" spans="1:13" s="77" customFormat="1" ht="24.75" customHeight="1">
      <c r="A338" s="372"/>
      <c r="B338" s="398"/>
      <c r="C338" s="399"/>
      <c r="D338" s="379"/>
      <c r="E338" s="22">
        <f t="shared" si="59"/>
        <v>59.5</v>
      </c>
      <c r="F338" s="22">
        <v>0</v>
      </c>
      <c r="G338" s="22">
        <f t="shared" si="58"/>
        <v>0</v>
      </c>
      <c r="H338" s="22"/>
      <c r="I338" s="22"/>
      <c r="J338" s="22">
        <v>59.5</v>
      </c>
      <c r="K338" s="22">
        <v>0</v>
      </c>
      <c r="L338" s="3" t="s">
        <v>231</v>
      </c>
      <c r="M338" s="358"/>
    </row>
    <row r="339" spans="1:13" s="77" customFormat="1" ht="43.5" customHeight="1">
      <c r="A339" s="372"/>
      <c r="B339" s="398"/>
      <c r="C339" s="399"/>
      <c r="D339" s="379"/>
      <c r="E339" s="22">
        <f t="shared" si="59"/>
        <v>7759.672289999999</v>
      </c>
      <c r="F339" s="22">
        <v>0</v>
      </c>
      <c r="G339" s="22">
        <f t="shared" si="58"/>
        <v>1276.052</v>
      </c>
      <c r="H339" s="22"/>
      <c r="I339" s="22">
        <f>1139.636+136.416</f>
        <v>1276.052</v>
      </c>
      <c r="J339" s="22">
        <f>5849.69929-59.5+585.9+107.521</f>
        <v>6483.620289999999</v>
      </c>
      <c r="K339" s="22">
        <v>0</v>
      </c>
      <c r="L339" s="3" t="s">
        <v>58</v>
      </c>
      <c r="M339" s="358"/>
    </row>
    <row r="340" spans="1:13" s="77" customFormat="1" ht="27" customHeight="1">
      <c r="A340" s="372"/>
      <c r="B340" s="398"/>
      <c r="C340" s="399"/>
      <c r="D340" s="379">
        <v>2020</v>
      </c>
      <c r="E340" s="48">
        <f t="shared" si="59"/>
        <v>232680.823</v>
      </c>
      <c r="F340" s="48">
        <f aca="true" t="shared" si="60" ref="F340:K340">SUM(F341:F349)</f>
        <v>149607</v>
      </c>
      <c r="G340" s="48">
        <f t="shared" si="60"/>
        <v>1271</v>
      </c>
      <c r="H340" s="48">
        <f t="shared" si="60"/>
        <v>0</v>
      </c>
      <c r="I340" s="48">
        <f t="shared" si="60"/>
        <v>1271</v>
      </c>
      <c r="J340" s="48">
        <f t="shared" si="60"/>
        <v>81802.823</v>
      </c>
      <c r="K340" s="48">
        <f t="shared" si="60"/>
        <v>0</v>
      </c>
      <c r="L340" s="3"/>
      <c r="M340" s="358"/>
    </row>
    <row r="341" spans="1:13" s="77" customFormat="1" ht="27" customHeight="1">
      <c r="A341" s="372"/>
      <c r="B341" s="398"/>
      <c r="C341" s="399"/>
      <c r="D341" s="379"/>
      <c r="E341" s="48">
        <f t="shared" si="59"/>
        <v>25384.932</v>
      </c>
      <c r="F341" s="22">
        <v>14700</v>
      </c>
      <c r="G341" s="22">
        <f>H341+I341</f>
        <v>0</v>
      </c>
      <c r="H341" s="22"/>
      <c r="I341" s="22"/>
      <c r="J341" s="22">
        <v>10684.932</v>
      </c>
      <c r="K341" s="22">
        <v>0</v>
      </c>
      <c r="L341" s="3" t="s">
        <v>10</v>
      </c>
      <c r="M341" s="358"/>
    </row>
    <row r="342" spans="1:13" s="77" customFormat="1" ht="27" customHeight="1">
      <c r="A342" s="372"/>
      <c r="B342" s="398"/>
      <c r="C342" s="399"/>
      <c r="D342" s="379"/>
      <c r="E342" s="48">
        <f t="shared" si="59"/>
        <v>52174.883</v>
      </c>
      <c r="F342" s="22">
        <v>30246</v>
      </c>
      <c r="G342" s="22">
        <f aca="true" t="shared" si="61" ref="G342:G349">H342+I342</f>
        <v>0</v>
      </c>
      <c r="H342" s="22"/>
      <c r="I342" s="22"/>
      <c r="J342" s="22">
        <v>21928.883</v>
      </c>
      <c r="K342" s="22">
        <v>0</v>
      </c>
      <c r="L342" s="3" t="s">
        <v>33</v>
      </c>
      <c r="M342" s="358"/>
    </row>
    <row r="343" spans="1:13" s="77" customFormat="1" ht="27" customHeight="1">
      <c r="A343" s="372"/>
      <c r="B343" s="398"/>
      <c r="C343" s="399"/>
      <c r="D343" s="379"/>
      <c r="E343" s="48">
        <f t="shared" si="59"/>
        <v>30992.02</v>
      </c>
      <c r="F343" s="22">
        <v>16200</v>
      </c>
      <c r="G343" s="22">
        <f t="shared" si="61"/>
        <v>0</v>
      </c>
      <c r="H343" s="22"/>
      <c r="I343" s="22"/>
      <c r="J343" s="22">
        <v>14792.02</v>
      </c>
      <c r="K343" s="22">
        <v>0</v>
      </c>
      <c r="L343" s="3" t="s">
        <v>34</v>
      </c>
      <c r="M343" s="358"/>
    </row>
    <row r="344" spans="1:13" s="77" customFormat="1" ht="27" customHeight="1">
      <c r="A344" s="372"/>
      <c r="B344" s="398"/>
      <c r="C344" s="399"/>
      <c r="D344" s="379"/>
      <c r="E344" s="48">
        <f t="shared" si="59"/>
        <v>48476.425</v>
      </c>
      <c r="F344" s="22">
        <v>40601</v>
      </c>
      <c r="G344" s="22">
        <f t="shared" si="61"/>
        <v>0</v>
      </c>
      <c r="H344" s="22"/>
      <c r="I344" s="22"/>
      <c r="J344" s="22">
        <v>7875.425</v>
      </c>
      <c r="K344" s="22">
        <v>0</v>
      </c>
      <c r="L344" s="3" t="s">
        <v>35</v>
      </c>
      <c r="M344" s="358"/>
    </row>
    <row r="345" spans="1:13" s="77" customFormat="1" ht="27" customHeight="1">
      <c r="A345" s="372"/>
      <c r="B345" s="398"/>
      <c r="C345" s="399"/>
      <c r="D345" s="379"/>
      <c r="E345" s="48">
        <f t="shared" si="59"/>
        <v>56366.19</v>
      </c>
      <c r="F345" s="22">
        <v>47860</v>
      </c>
      <c r="G345" s="22">
        <f t="shared" si="61"/>
        <v>0</v>
      </c>
      <c r="H345" s="22"/>
      <c r="I345" s="22"/>
      <c r="J345" s="22">
        <v>8506.19</v>
      </c>
      <c r="K345" s="22">
        <v>0</v>
      </c>
      <c r="L345" s="3" t="s">
        <v>21</v>
      </c>
      <c r="M345" s="358"/>
    </row>
    <row r="346" spans="1:13" s="77" customFormat="1" ht="27" customHeight="1">
      <c r="A346" s="372"/>
      <c r="B346" s="398"/>
      <c r="C346" s="399"/>
      <c r="D346" s="379"/>
      <c r="E346" s="48">
        <f t="shared" si="59"/>
        <v>5710.81</v>
      </c>
      <c r="F346" s="22">
        <v>0</v>
      </c>
      <c r="G346" s="22">
        <f t="shared" si="61"/>
        <v>0</v>
      </c>
      <c r="H346" s="22"/>
      <c r="I346" s="22"/>
      <c r="J346" s="22">
        <v>5710.81</v>
      </c>
      <c r="K346" s="22">
        <v>0</v>
      </c>
      <c r="L346" s="3" t="s">
        <v>228</v>
      </c>
      <c r="M346" s="358"/>
    </row>
    <row r="347" spans="1:13" s="77" customFormat="1" ht="27" customHeight="1">
      <c r="A347" s="372"/>
      <c r="B347" s="398"/>
      <c r="C347" s="399"/>
      <c r="D347" s="379"/>
      <c r="E347" s="48">
        <f t="shared" si="59"/>
        <v>5709.542</v>
      </c>
      <c r="F347" s="22"/>
      <c r="G347" s="22"/>
      <c r="H347" s="22"/>
      <c r="I347" s="22"/>
      <c r="J347" s="22">
        <v>5709.542</v>
      </c>
      <c r="K347" s="22"/>
      <c r="L347" s="3" t="s">
        <v>159</v>
      </c>
      <c r="M347" s="358"/>
    </row>
    <row r="348" spans="1:13" s="77" customFormat="1" ht="27" customHeight="1">
      <c r="A348" s="372"/>
      <c r="B348" s="398"/>
      <c r="C348" s="399"/>
      <c r="D348" s="379"/>
      <c r="E348" s="48">
        <f t="shared" si="59"/>
        <v>190</v>
      </c>
      <c r="F348" s="22"/>
      <c r="G348" s="22"/>
      <c r="H348" s="22"/>
      <c r="I348" s="22"/>
      <c r="J348" s="22">
        <v>190</v>
      </c>
      <c r="K348" s="22"/>
      <c r="L348" s="3" t="s">
        <v>230</v>
      </c>
      <c r="M348" s="358"/>
    </row>
    <row r="349" spans="1:13" s="77" customFormat="1" ht="27" customHeight="1">
      <c r="A349" s="372"/>
      <c r="B349" s="398"/>
      <c r="C349" s="399"/>
      <c r="D349" s="379"/>
      <c r="E349" s="48">
        <f t="shared" si="59"/>
        <v>7676.021</v>
      </c>
      <c r="F349" s="22">
        <v>0</v>
      </c>
      <c r="G349" s="22">
        <f t="shared" si="61"/>
        <v>1271</v>
      </c>
      <c r="H349" s="22"/>
      <c r="I349" s="22">
        <v>1271</v>
      </c>
      <c r="J349" s="22">
        <v>6405.021</v>
      </c>
      <c r="K349" s="22">
        <v>0</v>
      </c>
      <c r="L349" s="3" t="s">
        <v>229</v>
      </c>
      <c r="M349" s="358"/>
    </row>
    <row r="350" spans="1:13" s="77" customFormat="1" ht="27" customHeight="1">
      <c r="A350" s="372"/>
      <c r="B350" s="398"/>
      <c r="C350" s="399"/>
      <c r="D350" s="8">
        <v>2021</v>
      </c>
      <c r="E350" s="48">
        <f aca="true" t="shared" si="62" ref="E350:K350">SUM(E351:E359)</f>
        <v>215003.028</v>
      </c>
      <c r="F350" s="48">
        <f t="shared" si="62"/>
        <v>143532.8</v>
      </c>
      <c r="G350" s="48">
        <f t="shared" si="62"/>
        <v>1271</v>
      </c>
      <c r="H350" s="48">
        <f t="shared" si="62"/>
        <v>0</v>
      </c>
      <c r="I350" s="48">
        <f t="shared" si="62"/>
        <v>1271</v>
      </c>
      <c r="J350" s="48">
        <f t="shared" si="62"/>
        <v>70199.228</v>
      </c>
      <c r="K350" s="48">
        <f t="shared" si="62"/>
        <v>0</v>
      </c>
      <c r="L350" s="3"/>
      <c r="M350" s="358"/>
    </row>
    <row r="351" spans="1:13" s="77" customFormat="1" ht="27" customHeight="1">
      <c r="A351" s="372"/>
      <c r="B351" s="398"/>
      <c r="C351" s="399"/>
      <c r="D351" s="8"/>
      <c r="E351" s="48">
        <f>F351+G351+J351+K351</f>
        <v>23060.217</v>
      </c>
      <c r="F351" s="22">
        <v>14100</v>
      </c>
      <c r="G351" s="22">
        <f>H351+I351</f>
        <v>0</v>
      </c>
      <c r="H351" s="22"/>
      <c r="I351" s="22"/>
      <c r="J351" s="22">
        <v>8960.217</v>
      </c>
      <c r="K351" s="22">
        <v>0</v>
      </c>
      <c r="L351" s="3" t="s">
        <v>10</v>
      </c>
      <c r="M351" s="358"/>
    </row>
    <row r="352" spans="1:13" s="77" customFormat="1" ht="27" customHeight="1">
      <c r="A352" s="372"/>
      <c r="B352" s="398"/>
      <c r="C352" s="399"/>
      <c r="D352" s="8"/>
      <c r="E352" s="48">
        <f aca="true" t="shared" si="63" ref="E352:E359">F352+G352+J352+K352</f>
        <v>48097.827000000005</v>
      </c>
      <c r="F352" s="22">
        <v>29100</v>
      </c>
      <c r="G352" s="22">
        <f aca="true" t="shared" si="64" ref="G352:G359">H352+I352</f>
        <v>0</v>
      </c>
      <c r="H352" s="22"/>
      <c r="I352" s="22"/>
      <c r="J352" s="22">
        <v>18997.827</v>
      </c>
      <c r="K352" s="22">
        <v>0</v>
      </c>
      <c r="L352" s="3" t="s">
        <v>33</v>
      </c>
      <c r="M352" s="358"/>
    </row>
    <row r="353" spans="1:13" s="77" customFormat="1" ht="27" customHeight="1">
      <c r="A353" s="372"/>
      <c r="B353" s="398"/>
      <c r="C353" s="399"/>
      <c r="D353" s="8"/>
      <c r="E353" s="48">
        <f t="shared" si="63"/>
        <v>27568.181</v>
      </c>
      <c r="F353" s="22">
        <v>15500</v>
      </c>
      <c r="G353" s="22">
        <f t="shared" si="64"/>
        <v>0</v>
      </c>
      <c r="H353" s="22"/>
      <c r="I353" s="22"/>
      <c r="J353" s="22">
        <v>12068.181</v>
      </c>
      <c r="K353" s="22">
        <v>0</v>
      </c>
      <c r="L353" s="3" t="s">
        <v>34</v>
      </c>
      <c r="M353" s="358"/>
    </row>
    <row r="354" spans="1:13" s="77" customFormat="1" ht="27" customHeight="1">
      <c r="A354" s="372"/>
      <c r="B354" s="398"/>
      <c r="C354" s="399"/>
      <c r="D354" s="8"/>
      <c r="E354" s="48">
        <f t="shared" si="63"/>
        <v>45325.39</v>
      </c>
      <c r="F354" s="22">
        <v>39232.8</v>
      </c>
      <c r="G354" s="22">
        <f t="shared" si="64"/>
        <v>0</v>
      </c>
      <c r="H354" s="22"/>
      <c r="I354" s="22"/>
      <c r="J354" s="22">
        <v>6092.59</v>
      </c>
      <c r="K354" s="22">
        <v>0</v>
      </c>
      <c r="L354" s="3" t="s">
        <v>35</v>
      </c>
      <c r="M354" s="358"/>
    </row>
    <row r="355" spans="1:13" s="77" customFormat="1" ht="27" customHeight="1">
      <c r="A355" s="372"/>
      <c r="B355" s="398"/>
      <c r="C355" s="399"/>
      <c r="D355" s="8"/>
      <c r="E355" s="48">
        <f t="shared" si="63"/>
        <v>52665.04</v>
      </c>
      <c r="F355" s="22">
        <v>45600</v>
      </c>
      <c r="G355" s="22">
        <f t="shared" si="64"/>
        <v>0</v>
      </c>
      <c r="H355" s="22"/>
      <c r="I355" s="22"/>
      <c r="J355" s="22">
        <v>7065.04</v>
      </c>
      <c r="K355" s="22">
        <v>0</v>
      </c>
      <c r="L355" s="3" t="s">
        <v>21</v>
      </c>
      <c r="M355" s="358"/>
    </row>
    <row r="356" spans="1:13" s="77" customFormat="1" ht="27" customHeight="1">
      <c r="A356" s="372"/>
      <c r="B356" s="398"/>
      <c r="C356" s="399"/>
      <c r="D356" s="8"/>
      <c r="E356" s="48">
        <f t="shared" si="63"/>
        <v>4710.81</v>
      </c>
      <c r="F356" s="22">
        <v>0</v>
      </c>
      <c r="G356" s="22">
        <f t="shared" si="64"/>
        <v>0</v>
      </c>
      <c r="H356" s="22"/>
      <c r="I356" s="22"/>
      <c r="J356" s="22">
        <v>4710.81</v>
      </c>
      <c r="K356" s="22">
        <v>0</v>
      </c>
      <c r="L356" s="3" t="s">
        <v>232</v>
      </c>
      <c r="M356" s="358"/>
    </row>
    <row r="357" spans="1:13" s="77" customFormat="1" ht="27" customHeight="1">
      <c r="A357" s="372"/>
      <c r="B357" s="398"/>
      <c r="C357" s="399"/>
      <c r="D357" s="8"/>
      <c r="E357" s="48">
        <f t="shared" si="63"/>
        <v>5709.542</v>
      </c>
      <c r="F357" s="22">
        <v>0</v>
      </c>
      <c r="G357" s="22">
        <f t="shared" si="64"/>
        <v>0</v>
      </c>
      <c r="H357" s="22"/>
      <c r="I357" s="22"/>
      <c r="J357" s="22">
        <v>5709.542</v>
      </c>
      <c r="K357" s="22"/>
      <c r="L357" s="6" t="s">
        <v>159</v>
      </c>
      <c r="M357" s="358"/>
    </row>
    <row r="358" spans="1:13" s="77" customFormat="1" ht="27" customHeight="1">
      <c r="A358" s="372"/>
      <c r="B358" s="398"/>
      <c r="C358" s="399"/>
      <c r="D358" s="8"/>
      <c r="E358" s="48">
        <f t="shared" si="63"/>
        <v>190</v>
      </c>
      <c r="F358" s="22">
        <v>0</v>
      </c>
      <c r="G358" s="22">
        <f t="shared" si="64"/>
        <v>0</v>
      </c>
      <c r="H358" s="22"/>
      <c r="I358" s="22"/>
      <c r="J358" s="22">
        <v>190</v>
      </c>
      <c r="K358" s="22"/>
      <c r="L358" s="6" t="s">
        <v>230</v>
      </c>
      <c r="M358" s="358"/>
    </row>
    <row r="359" spans="1:13" s="77" customFormat="1" ht="31.5" customHeight="1">
      <c r="A359" s="372"/>
      <c r="B359" s="398"/>
      <c r="C359" s="399"/>
      <c r="D359" s="8"/>
      <c r="E359" s="48">
        <f t="shared" si="63"/>
        <v>7676.021</v>
      </c>
      <c r="F359" s="22">
        <v>0</v>
      </c>
      <c r="G359" s="22">
        <f t="shared" si="64"/>
        <v>1271</v>
      </c>
      <c r="H359" s="22"/>
      <c r="I359" s="22">
        <v>1271</v>
      </c>
      <c r="J359" s="22">
        <v>6405.021</v>
      </c>
      <c r="K359" s="22">
        <v>0</v>
      </c>
      <c r="L359" s="6" t="s">
        <v>229</v>
      </c>
      <c r="M359" s="358"/>
    </row>
    <row r="360" spans="1:13" s="77" customFormat="1" ht="27.75" customHeight="1">
      <c r="A360" s="372"/>
      <c r="B360" s="398"/>
      <c r="C360" s="399"/>
      <c r="D360" s="379">
        <v>2022</v>
      </c>
      <c r="E360" s="48">
        <f aca="true" t="shared" si="65" ref="E360:K360">SUM(E361:E369)</f>
        <v>214180.92799999999</v>
      </c>
      <c r="F360" s="48">
        <f t="shared" si="65"/>
        <v>143532.8</v>
      </c>
      <c r="G360" s="48">
        <f t="shared" si="65"/>
        <v>1271</v>
      </c>
      <c r="H360" s="48">
        <f t="shared" si="65"/>
        <v>0</v>
      </c>
      <c r="I360" s="48">
        <f t="shared" si="65"/>
        <v>1271</v>
      </c>
      <c r="J360" s="48">
        <f t="shared" si="65"/>
        <v>69377.128</v>
      </c>
      <c r="K360" s="48">
        <f t="shared" si="65"/>
        <v>0</v>
      </c>
      <c r="L360" s="6"/>
      <c r="M360" s="358"/>
    </row>
    <row r="361" spans="1:13" s="77" customFormat="1" ht="27" customHeight="1">
      <c r="A361" s="372"/>
      <c r="B361" s="398"/>
      <c r="C361" s="399"/>
      <c r="D361" s="379"/>
      <c r="E361" s="48">
        <f>F361+G361+J361+K361</f>
        <v>23313.503</v>
      </c>
      <c r="F361" s="22">
        <v>14100</v>
      </c>
      <c r="G361" s="22">
        <f>H361+I361</f>
        <v>0</v>
      </c>
      <c r="H361" s="22"/>
      <c r="I361" s="22"/>
      <c r="J361" s="22">
        <v>9213.503</v>
      </c>
      <c r="K361" s="22">
        <v>0</v>
      </c>
      <c r="L361" s="6" t="s">
        <v>10</v>
      </c>
      <c r="M361" s="358"/>
    </row>
    <row r="362" spans="1:13" s="77" customFormat="1" ht="27" customHeight="1">
      <c r="A362" s="372"/>
      <c r="B362" s="398"/>
      <c r="C362" s="399"/>
      <c r="D362" s="379"/>
      <c r="E362" s="48">
        <f aca="true" t="shared" si="66" ref="E362:E369">F362+G362+J362+K362</f>
        <v>47839.525</v>
      </c>
      <c r="F362" s="22">
        <v>29100</v>
      </c>
      <c r="G362" s="22">
        <f aca="true" t="shared" si="67" ref="G362:G369">H362+I362</f>
        <v>0</v>
      </c>
      <c r="H362" s="22"/>
      <c r="I362" s="22"/>
      <c r="J362" s="22">
        <v>18739.525</v>
      </c>
      <c r="K362" s="22">
        <v>0</v>
      </c>
      <c r="L362" s="6" t="s">
        <v>33</v>
      </c>
      <c r="M362" s="358"/>
    </row>
    <row r="363" spans="1:13" s="77" customFormat="1" ht="27" customHeight="1">
      <c r="A363" s="372"/>
      <c r="B363" s="398"/>
      <c r="C363" s="399"/>
      <c r="D363" s="379"/>
      <c r="E363" s="48">
        <f t="shared" si="66"/>
        <v>27147.337</v>
      </c>
      <c r="F363" s="22">
        <v>15500</v>
      </c>
      <c r="G363" s="22">
        <f t="shared" si="67"/>
        <v>0</v>
      </c>
      <c r="H363" s="22"/>
      <c r="I363" s="22"/>
      <c r="J363" s="22">
        <v>11647.337</v>
      </c>
      <c r="K363" s="22">
        <v>0</v>
      </c>
      <c r="L363" s="6" t="s">
        <v>34</v>
      </c>
      <c r="M363" s="358"/>
    </row>
    <row r="364" spans="1:13" s="77" customFormat="1" ht="27" customHeight="1">
      <c r="A364" s="372"/>
      <c r="B364" s="398"/>
      <c r="C364" s="399"/>
      <c r="D364" s="379"/>
      <c r="E364" s="48">
        <f t="shared" si="66"/>
        <v>45275.306000000004</v>
      </c>
      <c r="F364" s="22">
        <v>39232.8</v>
      </c>
      <c r="G364" s="22">
        <f t="shared" si="67"/>
        <v>0</v>
      </c>
      <c r="H364" s="22"/>
      <c r="I364" s="22"/>
      <c r="J364" s="22">
        <v>6042.506</v>
      </c>
      <c r="K364" s="22">
        <v>0</v>
      </c>
      <c r="L364" s="6" t="s">
        <v>35</v>
      </c>
      <c r="M364" s="358"/>
    </row>
    <row r="365" spans="1:13" s="77" customFormat="1" ht="27" customHeight="1">
      <c r="A365" s="372"/>
      <c r="B365" s="398"/>
      <c r="C365" s="399"/>
      <c r="D365" s="379"/>
      <c r="E365" s="48">
        <f t="shared" si="66"/>
        <v>52318.884</v>
      </c>
      <c r="F365" s="22">
        <v>45600</v>
      </c>
      <c r="G365" s="22">
        <f t="shared" si="67"/>
        <v>0</v>
      </c>
      <c r="H365" s="22"/>
      <c r="I365" s="22"/>
      <c r="J365" s="22">
        <v>6718.884</v>
      </c>
      <c r="K365" s="22">
        <v>0</v>
      </c>
      <c r="L365" s="6" t="s">
        <v>21</v>
      </c>
      <c r="M365" s="358"/>
    </row>
    <row r="366" spans="1:13" s="77" customFormat="1" ht="27" customHeight="1">
      <c r="A366" s="372"/>
      <c r="B366" s="398"/>
      <c r="C366" s="399"/>
      <c r="D366" s="379"/>
      <c r="E366" s="48">
        <f t="shared" si="66"/>
        <v>4710.81</v>
      </c>
      <c r="F366" s="22">
        <v>0</v>
      </c>
      <c r="G366" s="22">
        <f t="shared" si="67"/>
        <v>0</v>
      </c>
      <c r="H366" s="22"/>
      <c r="I366" s="22"/>
      <c r="J366" s="22">
        <v>4710.81</v>
      </c>
      <c r="K366" s="22">
        <v>0</v>
      </c>
      <c r="L366" s="6" t="s">
        <v>232</v>
      </c>
      <c r="M366" s="358"/>
    </row>
    <row r="367" spans="1:13" s="77" customFormat="1" ht="27" customHeight="1">
      <c r="A367" s="372"/>
      <c r="B367" s="398"/>
      <c r="C367" s="399"/>
      <c r="D367" s="379"/>
      <c r="E367" s="48">
        <f t="shared" si="66"/>
        <v>5709.542</v>
      </c>
      <c r="F367" s="22">
        <v>0</v>
      </c>
      <c r="G367" s="22">
        <f t="shared" si="67"/>
        <v>0</v>
      </c>
      <c r="H367" s="22"/>
      <c r="I367" s="22"/>
      <c r="J367" s="22">
        <v>5709.542</v>
      </c>
      <c r="K367" s="22">
        <v>0</v>
      </c>
      <c r="L367" s="6" t="s">
        <v>159</v>
      </c>
      <c r="M367" s="358"/>
    </row>
    <row r="368" spans="1:13" s="77" customFormat="1" ht="27" customHeight="1">
      <c r="A368" s="372"/>
      <c r="B368" s="398"/>
      <c r="C368" s="399"/>
      <c r="D368" s="379"/>
      <c r="E368" s="48">
        <f t="shared" si="66"/>
        <v>190</v>
      </c>
      <c r="F368" s="22">
        <v>0</v>
      </c>
      <c r="G368" s="22">
        <f t="shared" si="67"/>
        <v>0</v>
      </c>
      <c r="H368" s="22"/>
      <c r="I368" s="22"/>
      <c r="J368" s="22">
        <v>190</v>
      </c>
      <c r="K368" s="22">
        <v>0</v>
      </c>
      <c r="L368" s="6" t="s">
        <v>230</v>
      </c>
      <c r="M368" s="358"/>
    </row>
    <row r="369" spans="1:13" s="77" customFormat="1" ht="27" customHeight="1">
      <c r="A369" s="372"/>
      <c r="B369" s="400"/>
      <c r="C369" s="401"/>
      <c r="D369" s="379"/>
      <c r="E369" s="48">
        <f t="shared" si="66"/>
        <v>7676.021</v>
      </c>
      <c r="F369" s="22">
        <v>0</v>
      </c>
      <c r="G369" s="22">
        <f t="shared" si="67"/>
        <v>1271</v>
      </c>
      <c r="H369" s="22"/>
      <c r="I369" s="22">
        <v>1271</v>
      </c>
      <c r="J369" s="22">
        <v>6405.021</v>
      </c>
      <c r="K369" s="22">
        <v>0</v>
      </c>
      <c r="L369" s="6" t="s">
        <v>229</v>
      </c>
      <c r="M369" s="358"/>
    </row>
    <row r="370" spans="1:13" s="77" customFormat="1" ht="27" customHeight="1">
      <c r="A370" s="402"/>
      <c r="B370" s="473" t="s">
        <v>42</v>
      </c>
      <c r="C370" s="473"/>
      <c r="D370" s="8">
        <v>2017</v>
      </c>
      <c r="E370" s="48">
        <f aca="true" t="shared" si="68" ref="E370:J370">E305+E314</f>
        <v>216780.416</v>
      </c>
      <c r="F370" s="48">
        <f t="shared" si="68"/>
        <v>124615.2</v>
      </c>
      <c r="G370" s="48">
        <f t="shared" si="68"/>
        <v>727</v>
      </c>
      <c r="H370" s="48">
        <f t="shared" si="68"/>
        <v>0</v>
      </c>
      <c r="I370" s="48">
        <f>I305+I314</f>
        <v>727</v>
      </c>
      <c r="J370" s="48">
        <f t="shared" si="68"/>
        <v>91438.216</v>
      </c>
      <c r="K370" s="48">
        <f>K314+K305+K296+K247+K246+K245+K244+K243+K242+K241+K198+K197</f>
        <v>0</v>
      </c>
      <c r="L370" s="6"/>
      <c r="M370" s="24"/>
    </row>
    <row r="371" spans="1:13" s="77" customFormat="1" ht="27" customHeight="1">
      <c r="A371" s="402"/>
      <c r="B371" s="473"/>
      <c r="C371" s="473"/>
      <c r="D371" s="8">
        <v>2018</v>
      </c>
      <c r="E371" s="48">
        <f aca="true" t="shared" si="69" ref="E371:J371">E324+E316</f>
        <v>209116.99978</v>
      </c>
      <c r="F371" s="48">
        <f t="shared" si="69"/>
        <v>137344.5</v>
      </c>
      <c r="G371" s="48">
        <f t="shared" si="69"/>
        <v>1006.9820000000001</v>
      </c>
      <c r="H371" s="48">
        <f t="shared" si="69"/>
        <v>0</v>
      </c>
      <c r="I371" s="48">
        <f t="shared" si="69"/>
        <v>1006.9820000000001</v>
      </c>
      <c r="J371" s="48">
        <f t="shared" si="69"/>
        <v>70765.51778000001</v>
      </c>
      <c r="K371" s="48">
        <f>K316</f>
        <v>0</v>
      </c>
      <c r="L371" s="6"/>
      <c r="M371" s="24"/>
    </row>
    <row r="372" spans="1:13" s="77" customFormat="1" ht="27" customHeight="1">
      <c r="A372" s="402"/>
      <c r="B372" s="473"/>
      <c r="C372" s="473"/>
      <c r="D372" s="8">
        <v>2019</v>
      </c>
      <c r="E372" s="48">
        <f aca="true" t="shared" si="70" ref="E372:K372">E330</f>
        <v>229770.53044</v>
      </c>
      <c r="F372" s="48">
        <f t="shared" si="70"/>
        <v>150533.8</v>
      </c>
      <c r="G372" s="48">
        <f t="shared" si="70"/>
        <v>1276.052</v>
      </c>
      <c r="H372" s="48">
        <f t="shared" si="70"/>
        <v>0</v>
      </c>
      <c r="I372" s="48">
        <f t="shared" si="70"/>
        <v>1276.052</v>
      </c>
      <c r="J372" s="48">
        <f>J330</f>
        <v>77960.67844000002</v>
      </c>
      <c r="K372" s="48">
        <f t="shared" si="70"/>
        <v>0</v>
      </c>
      <c r="L372" s="6"/>
      <c r="M372" s="24"/>
    </row>
    <row r="373" spans="1:13" s="77" customFormat="1" ht="27" customHeight="1">
      <c r="A373" s="402"/>
      <c r="B373" s="473"/>
      <c r="C373" s="473"/>
      <c r="D373" s="8">
        <v>2020</v>
      </c>
      <c r="E373" s="48">
        <f aca="true" t="shared" si="71" ref="E373:K373">E340</f>
        <v>232680.823</v>
      </c>
      <c r="F373" s="48">
        <f t="shared" si="71"/>
        <v>149607</v>
      </c>
      <c r="G373" s="48">
        <f t="shared" si="71"/>
        <v>1271</v>
      </c>
      <c r="H373" s="48">
        <f t="shared" si="71"/>
        <v>0</v>
      </c>
      <c r="I373" s="48">
        <f t="shared" si="71"/>
        <v>1271</v>
      </c>
      <c r="J373" s="48">
        <f t="shared" si="71"/>
        <v>81802.823</v>
      </c>
      <c r="K373" s="48">
        <f t="shared" si="71"/>
        <v>0</v>
      </c>
      <c r="L373" s="6"/>
      <c r="M373" s="24"/>
    </row>
    <row r="374" spans="1:13" s="77" customFormat="1" ht="27" customHeight="1">
      <c r="A374" s="402"/>
      <c r="B374" s="473"/>
      <c r="C374" s="473"/>
      <c r="D374" s="8">
        <v>2021</v>
      </c>
      <c r="E374" s="48">
        <f aca="true" t="shared" si="72" ref="E374:K374">E350</f>
        <v>215003.028</v>
      </c>
      <c r="F374" s="48">
        <f t="shared" si="72"/>
        <v>143532.8</v>
      </c>
      <c r="G374" s="48">
        <f t="shared" si="72"/>
        <v>1271</v>
      </c>
      <c r="H374" s="48">
        <f t="shared" si="72"/>
        <v>0</v>
      </c>
      <c r="I374" s="48">
        <f t="shared" si="72"/>
        <v>1271</v>
      </c>
      <c r="J374" s="48">
        <f t="shared" si="72"/>
        <v>70199.228</v>
      </c>
      <c r="K374" s="48">
        <f t="shared" si="72"/>
        <v>0</v>
      </c>
      <c r="L374" s="6"/>
      <c r="M374" s="24"/>
    </row>
    <row r="375" spans="1:13" s="77" customFormat="1" ht="27" customHeight="1">
      <c r="A375" s="402"/>
      <c r="B375" s="473"/>
      <c r="C375" s="473"/>
      <c r="D375" s="8">
        <v>2022</v>
      </c>
      <c r="E375" s="48">
        <f aca="true" t="shared" si="73" ref="E375:K375">E360</f>
        <v>214180.92799999999</v>
      </c>
      <c r="F375" s="48">
        <f t="shared" si="73"/>
        <v>143532.8</v>
      </c>
      <c r="G375" s="48">
        <f t="shared" si="73"/>
        <v>1271</v>
      </c>
      <c r="H375" s="48">
        <f t="shared" si="73"/>
        <v>0</v>
      </c>
      <c r="I375" s="48">
        <f t="shared" si="73"/>
        <v>1271</v>
      </c>
      <c r="J375" s="48">
        <f t="shared" si="73"/>
        <v>69377.128</v>
      </c>
      <c r="K375" s="48">
        <f t="shared" si="73"/>
        <v>0</v>
      </c>
      <c r="L375" s="6"/>
      <c r="M375" s="24"/>
    </row>
    <row r="376" spans="1:13" s="77" customFormat="1" ht="27" customHeight="1">
      <c r="A376" s="427" t="s">
        <v>61</v>
      </c>
      <c r="B376" s="390"/>
      <c r="C376" s="390"/>
      <c r="D376" s="390"/>
      <c r="E376" s="390"/>
      <c r="F376" s="390"/>
      <c r="G376" s="390"/>
      <c r="H376" s="390"/>
      <c r="I376" s="390"/>
      <c r="J376" s="390"/>
      <c r="K376" s="390"/>
      <c r="L376" s="390"/>
      <c r="M376" s="391"/>
    </row>
    <row r="377" spans="1:13" s="77" customFormat="1" ht="27" customHeight="1">
      <c r="A377" s="426" t="s">
        <v>145</v>
      </c>
      <c r="B377" s="393"/>
      <c r="C377" s="393"/>
      <c r="D377" s="393"/>
      <c r="E377" s="393"/>
      <c r="F377" s="393"/>
      <c r="G377" s="393"/>
      <c r="H377" s="393"/>
      <c r="I377" s="393"/>
      <c r="J377" s="393"/>
      <c r="K377" s="393"/>
      <c r="L377" s="394"/>
      <c r="M377" s="24"/>
    </row>
    <row r="378" spans="1:13" s="77" customFormat="1" ht="29.25" customHeight="1">
      <c r="A378" s="421" t="s">
        <v>26</v>
      </c>
      <c r="B378" s="422"/>
      <c r="C378" s="422"/>
      <c r="D378" s="422"/>
      <c r="E378" s="422"/>
      <c r="F378" s="422"/>
      <c r="G378" s="422"/>
      <c r="H378" s="422"/>
      <c r="I378" s="422"/>
      <c r="J378" s="422"/>
      <c r="K378" s="422"/>
      <c r="L378" s="422"/>
      <c r="M378" s="423"/>
    </row>
    <row r="379" spans="1:13" s="77" customFormat="1" ht="24.75" customHeight="1">
      <c r="A379" s="372" t="s">
        <v>95</v>
      </c>
      <c r="B379" s="403" t="s">
        <v>146</v>
      </c>
      <c r="C379" s="404"/>
      <c r="D379" s="8">
        <v>2017</v>
      </c>
      <c r="E379" s="47">
        <f aca="true" t="shared" si="74" ref="E379:E384">F379+G379+J379+K379</f>
        <v>7260.311</v>
      </c>
      <c r="F379" s="10"/>
      <c r="G379" s="10">
        <f aca="true" t="shared" si="75" ref="G379:G384">H379+I379</f>
        <v>0</v>
      </c>
      <c r="H379" s="47">
        <v>0</v>
      </c>
      <c r="I379" s="47">
        <v>0</v>
      </c>
      <c r="J379" s="47">
        <v>7260.311</v>
      </c>
      <c r="K379" s="10">
        <v>0</v>
      </c>
      <c r="L379" s="3" t="s">
        <v>155</v>
      </c>
      <c r="M379" s="358" t="s">
        <v>70</v>
      </c>
    </row>
    <row r="380" spans="1:13" s="77" customFormat="1" ht="24.75" customHeight="1">
      <c r="A380" s="372"/>
      <c r="B380" s="405"/>
      <c r="C380" s="406"/>
      <c r="D380" s="8">
        <v>2018</v>
      </c>
      <c r="E380" s="47">
        <f t="shared" si="74"/>
        <v>8308.2425</v>
      </c>
      <c r="F380" s="10"/>
      <c r="G380" s="10">
        <f t="shared" si="75"/>
        <v>0</v>
      </c>
      <c r="H380" s="47">
        <v>0</v>
      </c>
      <c r="I380" s="47">
        <v>0</v>
      </c>
      <c r="J380" s="47">
        <f>8213.1695+95.073</f>
        <v>8308.2425</v>
      </c>
      <c r="K380" s="10">
        <v>0</v>
      </c>
      <c r="L380" s="3" t="s">
        <v>155</v>
      </c>
      <c r="M380" s="358"/>
    </row>
    <row r="381" spans="1:13" s="77" customFormat="1" ht="24.75" customHeight="1">
      <c r="A381" s="372"/>
      <c r="B381" s="405"/>
      <c r="C381" s="406"/>
      <c r="D381" s="8">
        <v>2019</v>
      </c>
      <c r="E381" s="47">
        <f t="shared" si="74"/>
        <v>8783.56033</v>
      </c>
      <c r="F381" s="10"/>
      <c r="G381" s="10">
        <f t="shared" si="75"/>
        <v>0</v>
      </c>
      <c r="H381" s="47">
        <v>0</v>
      </c>
      <c r="I381" s="47">
        <v>0</v>
      </c>
      <c r="J381" s="47">
        <f>8729.252+86.622-32.31367</f>
        <v>8783.56033</v>
      </c>
      <c r="K381" s="47">
        <v>0</v>
      </c>
      <c r="L381" s="3" t="s">
        <v>155</v>
      </c>
      <c r="M381" s="358"/>
    </row>
    <row r="382" spans="1:13" s="77" customFormat="1" ht="24.75" customHeight="1">
      <c r="A382" s="372"/>
      <c r="B382" s="405"/>
      <c r="C382" s="406"/>
      <c r="D382" s="8">
        <v>2020</v>
      </c>
      <c r="E382" s="47">
        <f t="shared" si="74"/>
        <v>8976.345</v>
      </c>
      <c r="F382" s="10"/>
      <c r="G382" s="10">
        <f t="shared" si="75"/>
        <v>0</v>
      </c>
      <c r="H382" s="47">
        <v>0</v>
      </c>
      <c r="I382" s="47">
        <v>0</v>
      </c>
      <c r="J382" s="47">
        <v>8976.345</v>
      </c>
      <c r="K382" s="10">
        <v>0</v>
      </c>
      <c r="L382" s="3" t="s">
        <v>155</v>
      </c>
      <c r="M382" s="358"/>
    </row>
    <row r="383" spans="1:13" s="77" customFormat="1" ht="24.75" customHeight="1">
      <c r="A383" s="372"/>
      <c r="B383" s="405"/>
      <c r="C383" s="406"/>
      <c r="D383" s="8">
        <v>2021</v>
      </c>
      <c r="E383" s="47">
        <f t="shared" si="74"/>
        <v>8976.443</v>
      </c>
      <c r="F383" s="10"/>
      <c r="G383" s="10">
        <f t="shared" si="75"/>
        <v>0</v>
      </c>
      <c r="H383" s="47">
        <v>0</v>
      </c>
      <c r="I383" s="47">
        <v>0</v>
      </c>
      <c r="J383" s="47">
        <v>8976.443</v>
      </c>
      <c r="K383" s="10">
        <v>0</v>
      </c>
      <c r="L383" s="3" t="s">
        <v>155</v>
      </c>
      <c r="M383" s="358"/>
    </row>
    <row r="384" spans="1:13" s="77" customFormat="1" ht="24.75" customHeight="1">
      <c r="A384" s="372"/>
      <c r="B384" s="407"/>
      <c r="C384" s="408"/>
      <c r="D384" s="8">
        <v>2022</v>
      </c>
      <c r="E384" s="47">
        <f t="shared" si="74"/>
        <v>8976.443</v>
      </c>
      <c r="F384" s="10"/>
      <c r="G384" s="10">
        <f t="shared" si="75"/>
        <v>0</v>
      </c>
      <c r="H384" s="47">
        <v>0</v>
      </c>
      <c r="I384" s="47">
        <v>0</v>
      </c>
      <c r="J384" s="47">
        <v>8976.443</v>
      </c>
      <c r="K384" s="10">
        <v>0</v>
      </c>
      <c r="L384" s="3" t="s">
        <v>155</v>
      </c>
      <c r="M384" s="358"/>
    </row>
    <row r="385" spans="1:13" s="77" customFormat="1" ht="27" customHeight="1">
      <c r="A385" s="389" t="s">
        <v>22</v>
      </c>
      <c r="B385" s="390"/>
      <c r="C385" s="390"/>
      <c r="D385" s="390"/>
      <c r="E385" s="390"/>
      <c r="F385" s="390"/>
      <c r="G385" s="390"/>
      <c r="H385" s="390"/>
      <c r="I385" s="390"/>
      <c r="J385" s="390"/>
      <c r="K385" s="390"/>
      <c r="L385" s="390"/>
      <c r="M385" s="391"/>
    </row>
    <row r="386" spans="1:13" s="77" customFormat="1" ht="27" customHeight="1">
      <c r="A386" s="392" t="s">
        <v>27</v>
      </c>
      <c r="B386" s="393"/>
      <c r="C386" s="393"/>
      <c r="D386" s="393"/>
      <c r="E386" s="393"/>
      <c r="F386" s="393"/>
      <c r="G386" s="393"/>
      <c r="H386" s="393"/>
      <c r="I386" s="393"/>
      <c r="J386" s="393"/>
      <c r="K386" s="393"/>
      <c r="L386" s="393"/>
      <c r="M386" s="394"/>
    </row>
    <row r="387" spans="1:13" s="77" customFormat="1" ht="27" customHeight="1">
      <c r="A387" s="395" t="s">
        <v>28</v>
      </c>
      <c r="B387" s="393"/>
      <c r="C387" s="393"/>
      <c r="D387" s="393"/>
      <c r="E387" s="393"/>
      <c r="F387" s="393"/>
      <c r="G387" s="393"/>
      <c r="H387" s="393"/>
      <c r="I387" s="393"/>
      <c r="J387" s="393"/>
      <c r="K387" s="393"/>
      <c r="L387" s="393"/>
      <c r="M387" s="394"/>
    </row>
    <row r="388" spans="1:13" s="77" customFormat="1" ht="24.75" customHeight="1">
      <c r="A388" s="372" t="s">
        <v>96</v>
      </c>
      <c r="B388" s="448" t="s">
        <v>147</v>
      </c>
      <c r="C388" s="448"/>
      <c r="D388" s="8">
        <v>2017</v>
      </c>
      <c r="E388" s="2">
        <f aca="true" t="shared" si="76" ref="E388:E406">F388+G388+J388+K388</f>
        <v>292.4</v>
      </c>
      <c r="F388" s="2">
        <v>292.4</v>
      </c>
      <c r="G388" s="2">
        <f>H388+I388</f>
        <v>0</v>
      </c>
      <c r="H388" s="2"/>
      <c r="I388" s="2">
        <v>0</v>
      </c>
      <c r="J388" s="23">
        <v>0</v>
      </c>
      <c r="K388" s="23">
        <v>0</v>
      </c>
      <c r="L388" s="3" t="s">
        <v>3</v>
      </c>
      <c r="M388" s="358" t="s">
        <v>62</v>
      </c>
    </row>
    <row r="389" spans="1:13" s="77" customFormat="1" ht="24.75" customHeight="1">
      <c r="A389" s="372"/>
      <c r="B389" s="448"/>
      <c r="C389" s="448"/>
      <c r="D389" s="8">
        <v>2018</v>
      </c>
      <c r="E389" s="2">
        <f t="shared" si="76"/>
        <v>233.2</v>
      </c>
      <c r="F389" s="2">
        <v>233.2</v>
      </c>
      <c r="G389" s="2">
        <f aca="true" t="shared" si="77" ref="G389:G405">H389+I389</f>
        <v>0</v>
      </c>
      <c r="H389" s="2"/>
      <c r="I389" s="2">
        <v>0</v>
      </c>
      <c r="J389" s="23">
        <v>0</v>
      </c>
      <c r="K389" s="23">
        <v>0</v>
      </c>
      <c r="L389" s="3" t="s">
        <v>3</v>
      </c>
      <c r="M389" s="439"/>
    </row>
    <row r="390" spans="1:13" s="77" customFormat="1" ht="24.75" customHeight="1">
      <c r="A390" s="372"/>
      <c r="B390" s="448"/>
      <c r="C390" s="448"/>
      <c r="D390" s="8">
        <v>2019</v>
      </c>
      <c r="E390" s="2">
        <f t="shared" si="76"/>
        <v>281.9</v>
      </c>
      <c r="F390" s="2">
        <v>281.9</v>
      </c>
      <c r="G390" s="2">
        <f t="shared" si="77"/>
        <v>0</v>
      </c>
      <c r="H390" s="2"/>
      <c r="I390" s="2">
        <v>0</v>
      </c>
      <c r="J390" s="23">
        <v>0</v>
      </c>
      <c r="K390" s="23">
        <v>0</v>
      </c>
      <c r="L390" s="3" t="s">
        <v>3</v>
      </c>
      <c r="M390" s="439"/>
    </row>
    <row r="391" spans="1:13" s="77" customFormat="1" ht="24.75" customHeight="1">
      <c r="A391" s="372"/>
      <c r="B391" s="448"/>
      <c r="C391" s="448"/>
      <c r="D391" s="8">
        <v>2020</v>
      </c>
      <c r="E391" s="2">
        <f>F391+G391+J391+K391</f>
        <v>216.2</v>
      </c>
      <c r="F391" s="2">
        <v>216.2</v>
      </c>
      <c r="G391" s="2">
        <f>H391+I391</f>
        <v>0</v>
      </c>
      <c r="H391" s="2"/>
      <c r="I391" s="2">
        <v>0</v>
      </c>
      <c r="J391" s="23">
        <v>0</v>
      </c>
      <c r="K391" s="23">
        <v>0</v>
      </c>
      <c r="L391" s="3" t="s">
        <v>3</v>
      </c>
      <c r="M391" s="439"/>
    </row>
    <row r="392" spans="1:13" s="77" customFormat="1" ht="24.75" customHeight="1">
      <c r="A392" s="372"/>
      <c r="B392" s="448"/>
      <c r="C392" s="448"/>
      <c r="D392" s="8">
        <v>2021</v>
      </c>
      <c r="E392" s="2">
        <f>F392+G392+J392+K392</f>
        <v>216.6</v>
      </c>
      <c r="F392" s="2">
        <v>216.6</v>
      </c>
      <c r="G392" s="2">
        <f>H392+I392</f>
        <v>0</v>
      </c>
      <c r="H392" s="2"/>
      <c r="I392" s="2">
        <v>0</v>
      </c>
      <c r="J392" s="23">
        <v>0</v>
      </c>
      <c r="K392" s="23">
        <v>0</v>
      </c>
      <c r="L392" s="3" t="s">
        <v>3</v>
      </c>
      <c r="M392" s="439"/>
    </row>
    <row r="393" spans="1:13" s="77" customFormat="1" ht="24.75" customHeight="1">
      <c r="A393" s="372"/>
      <c r="B393" s="448"/>
      <c r="C393" s="448"/>
      <c r="D393" s="8">
        <v>2022</v>
      </c>
      <c r="E393" s="2">
        <f t="shared" si="76"/>
        <v>216.6</v>
      </c>
      <c r="F393" s="2">
        <v>216.6</v>
      </c>
      <c r="G393" s="2">
        <f t="shared" si="77"/>
        <v>0</v>
      </c>
      <c r="H393" s="2"/>
      <c r="I393" s="2">
        <v>0</v>
      </c>
      <c r="J393" s="23">
        <v>0</v>
      </c>
      <c r="K393" s="23">
        <v>0</v>
      </c>
      <c r="L393" s="3" t="s">
        <v>3</v>
      </c>
      <c r="M393" s="439"/>
    </row>
    <row r="394" spans="1:13" s="77" customFormat="1" ht="24.75" customHeight="1">
      <c r="A394" s="372" t="s">
        <v>97</v>
      </c>
      <c r="B394" s="358" t="s">
        <v>148</v>
      </c>
      <c r="C394" s="358"/>
      <c r="D394" s="8">
        <v>2017</v>
      </c>
      <c r="E394" s="2">
        <f t="shared" si="76"/>
        <v>96.8</v>
      </c>
      <c r="F394" s="2">
        <v>0</v>
      </c>
      <c r="G394" s="2">
        <f t="shared" si="77"/>
        <v>96.8</v>
      </c>
      <c r="H394" s="2"/>
      <c r="I394" s="2">
        <v>96.8</v>
      </c>
      <c r="J394" s="23">
        <v>0</v>
      </c>
      <c r="K394" s="23">
        <v>0</v>
      </c>
      <c r="L394" s="3" t="s">
        <v>3</v>
      </c>
      <c r="M394" s="358" t="s">
        <v>63</v>
      </c>
    </row>
    <row r="395" spans="1:13" s="77" customFormat="1" ht="24.75" customHeight="1">
      <c r="A395" s="372"/>
      <c r="B395" s="358"/>
      <c r="C395" s="358"/>
      <c r="D395" s="8">
        <v>2018</v>
      </c>
      <c r="E395" s="2">
        <f t="shared" si="76"/>
        <v>127.3</v>
      </c>
      <c r="F395" s="2">
        <v>0</v>
      </c>
      <c r="G395" s="2">
        <f t="shared" si="77"/>
        <v>127.3</v>
      </c>
      <c r="H395" s="2"/>
      <c r="I395" s="2">
        <v>127.3</v>
      </c>
      <c r="J395" s="23">
        <v>0</v>
      </c>
      <c r="K395" s="23">
        <v>0</v>
      </c>
      <c r="L395" s="3" t="s">
        <v>3</v>
      </c>
      <c r="M395" s="358"/>
    </row>
    <row r="396" spans="1:13" s="77" customFormat="1" ht="24.75" customHeight="1">
      <c r="A396" s="372"/>
      <c r="B396" s="358"/>
      <c r="C396" s="358"/>
      <c r="D396" s="8">
        <v>2019</v>
      </c>
      <c r="E396" s="2">
        <f t="shared" si="76"/>
        <v>132.7</v>
      </c>
      <c r="F396" s="2">
        <v>0</v>
      </c>
      <c r="G396" s="2">
        <f t="shared" si="77"/>
        <v>132.7</v>
      </c>
      <c r="H396" s="2"/>
      <c r="I396" s="2">
        <v>132.7</v>
      </c>
      <c r="J396" s="23">
        <v>0</v>
      </c>
      <c r="K396" s="23">
        <v>0</v>
      </c>
      <c r="L396" s="3" t="s">
        <v>3</v>
      </c>
      <c r="M396" s="358"/>
    </row>
    <row r="397" spans="1:13" s="77" customFormat="1" ht="24.75" customHeight="1">
      <c r="A397" s="372"/>
      <c r="B397" s="358"/>
      <c r="C397" s="358"/>
      <c r="D397" s="8">
        <v>2020</v>
      </c>
      <c r="E397" s="2">
        <f>F397+G397+J397+K397</f>
        <v>134.4</v>
      </c>
      <c r="F397" s="2">
        <v>134.4</v>
      </c>
      <c r="G397" s="2">
        <f>H397+I397</f>
        <v>0</v>
      </c>
      <c r="H397" s="2"/>
      <c r="I397" s="2">
        <v>0</v>
      </c>
      <c r="J397" s="23">
        <v>0</v>
      </c>
      <c r="K397" s="23">
        <v>0</v>
      </c>
      <c r="L397" s="3" t="s">
        <v>3</v>
      </c>
      <c r="M397" s="358"/>
    </row>
    <row r="398" spans="1:13" s="77" customFormat="1" ht="24.75" customHeight="1">
      <c r="A398" s="372"/>
      <c r="B398" s="358"/>
      <c r="C398" s="358"/>
      <c r="D398" s="8">
        <v>2021</v>
      </c>
      <c r="E398" s="2">
        <f>F398+G398+J398+K398</f>
        <v>134.7</v>
      </c>
      <c r="F398" s="2">
        <v>134.7</v>
      </c>
      <c r="G398" s="2">
        <f>H398+I398</f>
        <v>0</v>
      </c>
      <c r="H398" s="2"/>
      <c r="I398" s="2">
        <v>0</v>
      </c>
      <c r="J398" s="23">
        <v>0</v>
      </c>
      <c r="K398" s="23">
        <v>0</v>
      </c>
      <c r="L398" s="3" t="s">
        <v>3</v>
      </c>
      <c r="M398" s="358"/>
    </row>
    <row r="399" spans="1:13" s="77" customFormat="1" ht="24.75" customHeight="1">
      <c r="A399" s="372"/>
      <c r="B399" s="358"/>
      <c r="C399" s="358"/>
      <c r="D399" s="8">
        <v>2022</v>
      </c>
      <c r="E399" s="2">
        <f t="shared" si="76"/>
        <v>134.7</v>
      </c>
      <c r="F399" s="2">
        <v>134.7</v>
      </c>
      <c r="G399" s="2">
        <f t="shared" si="77"/>
        <v>0</v>
      </c>
      <c r="H399" s="2"/>
      <c r="I399" s="2">
        <v>0</v>
      </c>
      <c r="J399" s="23">
        <v>0</v>
      </c>
      <c r="K399" s="23">
        <v>0</v>
      </c>
      <c r="L399" s="3" t="s">
        <v>3</v>
      </c>
      <c r="M399" s="358"/>
    </row>
    <row r="400" spans="1:13" s="77" customFormat="1" ht="24.75" customHeight="1">
      <c r="A400" s="372" t="s">
        <v>98</v>
      </c>
      <c r="B400" s="358" t="s">
        <v>149</v>
      </c>
      <c r="C400" s="358"/>
      <c r="D400" s="8">
        <v>2017</v>
      </c>
      <c r="E400" s="2">
        <f t="shared" si="76"/>
        <v>5391.1</v>
      </c>
      <c r="F400" s="2">
        <v>5391.1</v>
      </c>
      <c r="G400" s="2">
        <f t="shared" si="77"/>
        <v>0</v>
      </c>
      <c r="H400" s="2"/>
      <c r="I400" s="2">
        <v>0</v>
      </c>
      <c r="J400" s="23">
        <v>0</v>
      </c>
      <c r="K400" s="23">
        <v>0</v>
      </c>
      <c r="L400" s="3" t="s">
        <v>3</v>
      </c>
      <c r="M400" s="358" t="s">
        <v>64</v>
      </c>
    </row>
    <row r="401" spans="1:13" s="77" customFormat="1" ht="24.75" customHeight="1">
      <c r="A401" s="372"/>
      <c r="B401" s="358"/>
      <c r="C401" s="358"/>
      <c r="D401" s="8">
        <v>2018</v>
      </c>
      <c r="E401" s="2">
        <f t="shared" si="76"/>
        <v>5870.4</v>
      </c>
      <c r="F401" s="2">
        <v>5870.4</v>
      </c>
      <c r="G401" s="2">
        <f t="shared" si="77"/>
        <v>0</v>
      </c>
      <c r="H401" s="2"/>
      <c r="I401" s="2">
        <v>0</v>
      </c>
      <c r="J401" s="23">
        <v>0</v>
      </c>
      <c r="K401" s="23">
        <v>0</v>
      </c>
      <c r="L401" s="3" t="s">
        <v>3</v>
      </c>
      <c r="M401" s="358"/>
    </row>
    <row r="402" spans="1:13" s="77" customFormat="1" ht="24.75" customHeight="1">
      <c r="A402" s="372"/>
      <c r="B402" s="358"/>
      <c r="C402" s="358"/>
      <c r="D402" s="8">
        <v>2019</v>
      </c>
      <c r="E402" s="2">
        <f t="shared" si="76"/>
        <v>6295.7</v>
      </c>
      <c r="F402" s="2">
        <f>5735.3+560.4</f>
        <v>6295.7</v>
      </c>
      <c r="G402" s="2">
        <f t="shared" si="77"/>
        <v>0</v>
      </c>
      <c r="H402" s="2"/>
      <c r="I402" s="2">
        <v>0</v>
      </c>
      <c r="J402" s="23">
        <v>0</v>
      </c>
      <c r="K402" s="23">
        <v>0</v>
      </c>
      <c r="L402" s="3" t="s">
        <v>3</v>
      </c>
      <c r="M402" s="358"/>
    </row>
    <row r="403" spans="1:13" s="77" customFormat="1" ht="24.75" customHeight="1">
      <c r="A403" s="372"/>
      <c r="B403" s="358"/>
      <c r="C403" s="358"/>
      <c r="D403" s="8">
        <v>2020</v>
      </c>
      <c r="E403" s="2">
        <f>F403+G403+J403+K403</f>
        <v>6203.9</v>
      </c>
      <c r="F403" s="2">
        <v>6203.9</v>
      </c>
      <c r="G403" s="2">
        <f>H403+I403</f>
        <v>0</v>
      </c>
      <c r="H403" s="2"/>
      <c r="I403" s="2">
        <v>0</v>
      </c>
      <c r="J403" s="23">
        <v>0</v>
      </c>
      <c r="K403" s="23">
        <v>0</v>
      </c>
      <c r="L403" s="3" t="s">
        <v>3</v>
      </c>
      <c r="M403" s="358"/>
    </row>
    <row r="404" spans="1:13" s="77" customFormat="1" ht="24.75" customHeight="1">
      <c r="A404" s="296"/>
      <c r="B404" s="388"/>
      <c r="C404" s="388"/>
      <c r="D404" s="57">
        <v>2021</v>
      </c>
      <c r="E404" s="58">
        <f>F404+G404+J404+K404</f>
        <v>6216.1</v>
      </c>
      <c r="F404" s="58">
        <v>6216.1</v>
      </c>
      <c r="G404" s="58">
        <f>H404+I404</f>
        <v>0</v>
      </c>
      <c r="H404" s="58"/>
      <c r="I404" s="58">
        <v>0</v>
      </c>
      <c r="J404" s="59">
        <v>0</v>
      </c>
      <c r="K404" s="59">
        <v>0</v>
      </c>
      <c r="L404" s="60" t="s">
        <v>3</v>
      </c>
      <c r="M404" s="388"/>
    </row>
    <row r="405" spans="1:13" s="77" customFormat="1" ht="24.75" customHeight="1" thickBot="1">
      <c r="A405" s="296"/>
      <c r="B405" s="388"/>
      <c r="C405" s="388"/>
      <c r="D405" s="57">
        <v>2022</v>
      </c>
      <c r="E405" s="58">
        <f t="shared" si="76"/>
        <v>6216.1</v>
      </c>
      <c r="F405" s="58">
        <v>6216.1</v>
      </c>
      <c r="G405" s="58">
        <f t="shared" si="77"/>
        <v>0</v>
      </c>
      <c r="H405" s="58"/>
      <c r="I405" s="58">
        <v>0</v>
      </c>
      <c r="J405" s="59">
        <v>0</v>
      </c>
      <c r="K405" s="59">
        <v>0</v>
      </c>
      <c r="L405" s="60" t="s">
        <v>3</v>
      </c>
      <c r="M405" s="388"/>
    </row>
    <row r="406" spans="1:13" s="77" customFormat="1" ht="30.75" customHeight="1">
      <c r="A406" s="440"/>
      <c r="B406" s="444" t="s">
        <v>37</v>
      </c>
      <c r="C406" s="444"/>
      <c r="D406" s="61">
        <v>2017</v>
      </c>
      <c r="E406" s="62">
        <f t="shared" si="76"/>
        <v>5780.3</v>
      </c>
      <c r="F406" s="62">
        <f aca="true" t="shared" si="78" ref="F406:H408">F388+F394+F400</f>
        <v>5683.5</v>
      </c>
      <c r="G406" s="62">
        <f>H406+I406</f>
        <v>96.8</v>
      </c>
      <c r="H406" s="62">
        <f aca="true" t="shared" si="79" ref="H406:K410">H388+H394+H400</f>
        <v>0</v>
      </c>
      <c r="I406" s="62">
        <f t="shared" si="79"/>
        <v>96.8</v>
      </c>
      <c r="J406" s="62">
        <v>0</v>
      </c>
      <c r="K406" s="62">
        <v>0</v>
      </c>
      <c r="L406" s="63"/>
      <c r="M406" s="64"/>
    </row>
    <row r="407" spans="1:13" s="77" customFormat="1" ht="30.75" customHeight="1">
      <c r="A407" s="441"/>
      <c r="B407" s="445"/>
      <c r="C407" s="445"/>
      <c r="D407" s="8">
        <v>2018</v>
      </c>
      <c r="E407" s="11">
        <f>F407+G407+J407+K407</f>
        <v>6230.9</v>
      </c>
      <c r="F407" s="11">
        <f t="shared" si="78"/>
        <v>6103.599999999999</v>
      </c>
      <c r="G407" s="11">
        <f>H407+I407</f>
        <v>127.3</v>
      </c>
      <c r="H407" s="11">
        <f t="shared" si="79"/>
        <v>0</v>
      </c>
      <c r="I407" s="11">
        <f t="shared" si="79"/>
        <v>127.3</v>
      </c>
      <c r="J407" s="11">
        <v>0</v>
      </c>
      <c r="K407" s="11">
        <v>0</v>
      </c>
      <c r="L407" s="3"/>
      <c r="M407" s="65"/>
    </row>
    <row r="408" spans="1:13" s="77" customFormat="1" ht="30.75" customHeight="1">
      <c r="A408" s="441"/>
      <c r="B408" s="445"/>
      <c r="C408" s="445"/>
      <c r="D408" s="8">
        <v>2019</v>
      </c>
      <c r="E408" s="11">
        <f aca="true" t="shared" si="80" ref="E408:K411">E390+E396+E402</f>
        <v>6710.3</v>
      </c>
      <c r="F408" s="11">
        <f t="shared" si="78"/>
        <v>6577.599999999999</v>
      </c>
      <c r="G408" s="11">
        <f t="shared" si="78"/>
        <v>132.7</v>
      </c>
      <c r="H408" s="11">
        <f t="shared" si="78"/>
        <v>0</v>
      </c>
      <c r="I408" s="11">
        <f>I390+I396+I402</f>
        <v>132.7</v>
      </c>
      <c r="J408" s="11">
        <f>J390+J396+J402</f>
        <v>0</v>
      </c>
      <c r="K408" s="11">
        <f>K390+K396+K402</f>
        <v>0</v>
      </c>
      <c r="L408" s="3"/>
      <c r="M408" s="65"/>
    </row>
    <row r="409" spans="1:13" s="77" customFormat="1" ht="30.75" customHeight="1">
      <c r="A409" s="441"/>
      <c r="B409" s="445"/>
      <c r="C409" s="445"/>
      <c r="D409" s="8">
        <v>2020</v>
      </c>
      <c r="E409" s="11">
        <f t="shared" si="80"/>
        <v>6554.5</v>
      </c>
      <c r="F409" s="11">
        <f t="shared" si="80"/>
        <v>6554.5</v>
      </c>
      <c r="G409" s="11">
        <f t="shared" si="80"/>
        <v>0</v>
      </c>
      <c r="H409" s="11">
        <f t="shared" si="80"/>
        <v>0</v>
      </c>
      <c r="I409" s="11">
        <f t="shared" si="79"/>
        <v>0</v>
      </c>
      <c r="J409" s="11">
        <f t="shared" si="79"/>
        <v>0</v>
      </c>
      <c r="K409" s="11">
        <f t="shared" si="79"/>
        <v>0</v>
      </c>
      <c r="L409" s="3"/>
      <c r="M409" s="65"/>
    </row>
    <row r="410" spans="1:13" s="77" customFormat="1" ht="30.75" customHeight="1" thickBot="1">
      <c r="A410" s="442"/>
      <c r="B410" s="446"/>
      <c r="C410" s="446"/>
      <c r="D410" s="66">
        <v>2021</v>
      </c>
      <c r="E410" s="67">
        <f t="shared" si="80"/>
        <v>6567.400000000001</v>
      </c>
      <c r="F410" s="67">
        <f t="shared" si="80"/>
        <v>6567.400000000001</v>
      </c>
      <c r="G410" s="67">
        <f t="shared" si="80"/>
        <v>0</v>
      </c>
      <c r="H410" s="67">
        <f t="shared" si="80"/>
        <v>0</v>
      </c>
      <c r="I410" s="67">
        <f t="shared" si="79"/>
        <v>0</v>
      </c>
      <c r="J410" s="67">
        <f t="shared" si="79"/>
        <v>0</v>
      </c>
      <c r="K410" s="67">
        <f t="shared" si="79"/>
        <v>0</v>
      </c>
      <c r="L410" s="60"/>
      <c r="M410" s="111"/>
    </row>
    <row r="411" spans="1:13" s="77" customFormat="1" ht="30.75" customHeight="1" thickBot="1">
      <c r="A411" s="443"/>
      <c r="B411" s="447"/>
      <c r="C411" s="447"/>
      <c r="D411" s="66">
        <v>2022</v>
      </c>
      <c r="E411" s="67">
        <f t="shared" si="80"/>
        <v>6567.400000000001</v>
      </c>
      <c r="F411" s="67">
        <f t="shared" si="80"/>
        <v>6567.400000000001</v>
      </c>
      <c r="G411" s="67">
        <f t="shared" si="80"/>
        <v>0</v>
      </c>
      <c r="H411" s="67">
        <f t="shared" si="80"/>
        <v>0</v>
      </c>
      <c r="I411" s="67">
        <f t="shared" si="80"/>
        <v>0</v>
      </c>
      <c r="J411" s="67">
        <f t="shared" si="80"/>
        <v>0</v>
      </c>
      <c r="K411" s="67">
        <f t="shared" si="80"/>
        <v>0</v>
      </c>
      <c r="L411" s="68"/>
      <c r="M411" s="69"/>
    </row>
    <row r="412" spans="1:13" s="77" customFormat="1" ht="30.75" customHeight="1" thickBot="1">
      <c r="A412" s="106"/>
      <c r="B412" s="373"/>
      <c r="C412" s="374"/>
      <c r="D412" s="90"/>
      <c r="E412" s="13"/>
      <c r="F412" s="13"/>
      <c r="G412" s="25"/>
      <c r="H412" s="13"/>
      <c r="I412" s="13"/>
      <c r="J412" s="13"/>
      <c r="K412" s="41"/>
      <c r="L412" s="3"/>
      <c r="M412" s="249"/>
    </row>
    <row r="413" spans="1:13" s="77" customFormat="1" ht="37.5" customHeight="1">
      <c r="A413" s="402"/>
      <c r="B413" s="493" t="s">
        <v>31</v>
      </c>
      <c r="C413" s="494"/>
      <c r="D413" s="81" t="s">
        <v>119</v>
      </c>
      <c r="E413" s="70">
        <f aca="true" t="shared" si="81" ref="E413:K413">SUM(E414:E419)</f>
        <v>1565955.09046</v>
      </c>
      <c r="F413" s="70">
        <f t="shared" si="81"/>
        <v>887220.0999999999</v>
      </c>
      <c r="G413" s="70">
        <f t="shared" si="81"/>
        <v>18707.034</v>
      </c>
      <c r="H413" s="70">
        <f t="shared" si="81"/>
        <v>8703.1</v>
      </c>
      <c r="I413" s="70">
        <f t="shared" si="81"/>
        <v>10003.934000000001</v>
      </c>
      <c r="J413" s="70">
        <f>SUM(J414:J419)</f>
        <v>660027.9564600001</v>
      </c>
      <c r="K413" s="70">
        <f t="shared" si="81"/>
        <v>0</v>
      </c>
      <c r="L413" s="91"/>
      <c r="M413" s="80"/>
    </row>
    <row r="414" spans="1:13" s="77" customFormat="1" ht="33" customHeight="1">
      <c r="A414" s="402"/>
      <c r="B414" s="495"/>
      <c r="C414" s="496"/>
      <c r="D414" s="8">
        <v>2017</v>
      </c>
      <c r="E414" s="11">
        <f>F414+G414+J414+K414</f>
        <v>259771.653</v>
      </c>
      <c r="F414" s="11">
        <f aca="true" t="shared" si="82" ref="F414:K419">F187+F296+F370+F379+F406</f>
        <v>130298.7</v>
      </c>
      <c r="G414" s="11">
        <f t="shared" si="82"/>
        <v>1029</v>
      </c>
      <c r="H414" s="11">
        <f t="shared" si="82"/>
        <v>0</v>
      </c>
      <c r="I414" s="11">
        <f t="shared" si="82"/>
        <v>1029</v>
      </c>
      <c r="J414" s="11">
        <f t="shared" si="82"/>
        <v>128443.953</v>
      </c>
      <c r="K414" s="11">
        <f t="shared" si="82"/>
        <v>0</v>
      </c>
      <c r="L414" s="50"/>
      <c r="M414" s="24"/>
    </row>
    <row r="415" spans="1:13" s="77" customFormat="1" ht="30.75" customHeight="1">
      <c r="A415" s="402"/>
      <c r="B415" s="495"/>
      <c r="C415" s="496"/>
      <c r="D415" s="8">
        <v>2018</v>
      </c>
      <c r="E415" s="11">
        <f>F415+G415+J415+K415</f>
        <v>256780.11129000003</v>
      </c>
      <c r="F415" s="11">
        <f t="shared" si="82"/>
        <v>143448.1</v>
      </c>
      <c r="G415" s="11">
        <f t="shared" si="82"/>
        <v>1296.482</v>
      </c>
      <c r="H415" s="11">
        <f t="shared" si="82"/>
        <v>0</v>
      </c>
      <c r="I415" s="11">
        <f>I407+I380+I371+I297+I188</f>
        <v>1296.4820000000002</v>
      </c>
      <c r="J415" s="11">
        <f>J407+J380+J371+J297+J188</f>
        <v>112035.52929000002</v>
      </c>
      <c r="K415" s="11">
        <f>K188+K297+K371+K380+K407</f>
        <v>0</v>
      </c>
      <c r="L415" s="50"/>
      <c r="M415" s="24"/>
    </row>
    <row r="416" spans="1:13" s="77" customFormat="1" ht="30.75" customHeight="1">
      <c r="A416" s="402"/>
      <c r="B416" s="495"/>
      <c r="C416" s="496"/>
      <c r="D416" s="8">
        <v>2019</v>
      </c>
      <c r="E416" s="253">
        <f>E189+E298+E372+E381+E408</f>
        <v>274699.70717</v>
      </c>
      <c r="F416" s="11">
        <f t="shared" si="82"/>
        <v>157111.4</v>
      </c>
      <c r="G416" s="11">
        <f t="shared" si="82"/>
        <v>3375.852</v>
      </c>
      <c r="H416" s="11">
        <f t="shared" si="82"/>
        <v>0</v>
      </c>
      <c r="I416" s="11">
        <f t="shared" si="82"/>
        <v>3375.852</v>
      </c>
      <c r="J416" s="253">
        <f t="shared" si="82"/>
        <v>114212.45517000003</v>
      </c>
      <c r="K416" s="11">
        <f>K189+K298+K372+K381+K408</f>
        <v>0</v>
      </c>
      <c r="L416" s="50"/>
      <c r="M416" s="24"/>
    </row>
    <row r="417" spans="1:13" s="77" customFormat="1" ht="30.75" customHeight="1">
      <c r="A417" s="402"/>
      <c r="B417" s="495"/>
      <c r="C417" s="496"/>
      <c r="D417" s="8">
        <v>2020</v>
      </c>
      <c r="E417" s="11">
        <f>E190+E299+E373+E382+E409</f>
        <v>261105.328</v>
      </c>
      <c r="F417" s="11">
        <f t="shared" si="82"/>
        <v>156161.5</v>
      </c>
      <c r="G417" s="11">
        <f t="shared" si="82"/>
        <v>2551.2</v>
      </c>
      <c r="H417" s="11">
        <f t="shared" si="82"/>
        <v>1117</v>
      </c>
      <c r="I417" s="11">
        <f t="shared" si="82"/>
        <v>1434.2</v>
      </c>
      <c r="J417" s="11">
        <f t="shared" si="82"/>
        <v>102392.628</v>
      </c>
      <c r="K417" s="11">
        <f>K190+K299+K373+K382+K409</f>
        <v>0</v>
      </c>
      <c r="L417" s="50"/>
      <c r="M417" s="24"/>
    </row>
    <row r="418" spans="1:13" s="77" customFormat="1" ht="30.75" customHeight="1">
      <c r="A418" s="402"/>
      <c r="B418" s="495"/>
      <c r="C418" s="496"/>
      <c r="D418" s="8">
        <v>2021</v>
      </c>
      <c r="E418" s="11">
        <f>F418+G418+J418+K418</f>
        <v>261043.19899999996</v>
      </c>
      <c r="F418" s="11">
        <f>F191+F300+F374+F383+F410</f>
        <v>150100.19999999998</v>
      </c>
      <c r="G418" s="11">
        <f>H418+I418</f>
        <v>8070.3</v>
      </c>
      <c r="H418" s="11">
        <f>H191+H300+H374+H383+H410</f>
        <v>6636.1</v>
      </c>
      <c r="I418" s="11">
        <f t="shared" si="82"/>
        <v>1434.2</v>
      </c>
      <c r="J418" s="11">
        <f t="shared" si="82"/>
        <v>102872.699</v>
      </c>
      <c r="K418" s="11">
        <f>K191+K300+K374+K383+K410</f>
        <v>0</v>
      </c>
      <c r="L418" s="50"/>
      <c r="M418" s="24"/>
    </row>
    <row r="419" spans="1:13" s="77" customFormat="1" ht="27" customHeight="1">
      <c r="A419" s="402"/>
      <c r="B419" s="497"/>
      <c r="C419" s="498"/>
      <c r="D419" s="8">
        <v>2022</v>
      </c>
      <c r="E419" s="11">
        <f>F419+G419+J419+K419</f>
        <v>252555.092</v>
      </c>
      <c r="F419" s="11">
        <f>F192+F301+F375+F384+F411</f>
        <v>150100.19999999998</v>
      </c>
      <c r="G419" s="11">
        <f>H419+I419</f>
        <v>2384.2</v>
      </c>
      <c r="H419" s="11">
        <f>H192+H301+H375+H384+H411</f>
        <v>950</v>
      </c>
      <c r="I419" s="11">
        <f t="shared" si="82"/>
        <v>1434.2</v>
      </c>
      <c r="J419" s="11">
        <f t="shared" si="82"/>
        <v>100070.692</v>
      </c>
      <c r="K419" s="11">
        <f>K192+K301+K375+K384+K411</f>
        <v>0</v>
      </c>
      <c r="L419" s="50"/>
      <c r="M419" s="24"/>
    </row>
    <row r="420" spans="2:11" ht="25.5" customHeight="1" hidden="1">
      <c r="B420" s="415"/>
      <c r="C420" s="416"/>
      <c r="D420" s="232"/>
      <c r="E420" s="233"/>
      <c r="F420" s="234"/>
      <c r="G420" s="234"/>
      <c r="H420" s="78"/>
      <c r="I420" s="79"/>
      <c r="J420" s="78"/>
      <c r="K420" s="78"/>
    </row>
    <row r="421" spans="2:11" ht="25.5" customHeight="1" hidden="1">
      <c r="B421" s="417"/>
      <c r="C421" s="418"/>
      <c r="D421" s="232"/>
      <c r="E421" s="233"/>
      <c r="F421" s="235"/>
      <c r="G421" s="235"/>
      <c r="H421" s="79"/>
      <c r="I421" s="236"/>
      <c r="J421" s="79" t="s">
        <v>17</v>
      </c>
      <c r="K421" s="79"/>
    </row>
    <row r="422" spans="2:11" ht="15.75" customHeight="1" hidden="1">
      <c r="B422" s="417"/>
      <c r="C422" s="418"/>
      <c r="D422" s="232"/>
      <c r="E422" s="233"/>
      <c r="F422" s="235"/>
      <c r="G422" s="235"/>
      <c r="H422" s="79"/>
      <c r="I422" s="79"/>
      <c r="J422" s="79"/>
      <c r="K422" s="79"/>
    </row>
    <row r="423" spans="2:11" ht="24.75" customHeight="1" hidden="1">
      <c r="B423" s="417"/>
      <c r="C423" s="418"/>
      <c r="D423" s="232"/>
      <c r="E423" s="233"/>
      <c r="F423" s="235"/>
      <c r="G423" s="235"/>
      <c r="H423" s="79"/>
      <c r="I423" s="237"/>
      <c r="J423" s="79" t="s">
        <v>18</v>
      </c>
      <c r="K423" s="79"/>
    </row>
    <row r="424" spans="2:11" ht="13.5" customHeight="1" hidden="1">
      <c r="B424" s="419"/>
      <c r="C424" s="420"/>
      <c r="D424" s="232"/>
      <c r="E424" s="233"/>
      <c r="F424" s="235"/>
      <c r="G424" s="235"/>
      <c r="H424" s="79"/>
      <c r="I424" s="79"/>
      <c r="J424" s="79"/>
      <c r="K424" s="79"/>
    </row>
    <row r="425" spans="4:11" ht="27.75" customHeight="1" hidden="1">
      <c r="D425" s="232"/>
      <c r="E425" s="233"/>
      <c r="F425" s="235"/>
      <c r="G425" s="235"/>
      <c r="H425" s="79"/>
      <c r="I425" s="79"/>
      <c r="J425" s="79" t="s">
        <v>19</v>
      </c>
      <c r="K425" s="79"/>
    </row>
    <row r="426" spans="2:11" ht="18.75" customHeight="1" hidden="1">
      <c r="B426" s="85"/>
      <c r="C426" s="238"/>
      <c r="D426" s="232"/>
      <c r="E426" s="233"/>
      <c r="F426" s="235"/>
      <c r="G426" s="235"/>
      <c r="H426" s="79"/>
      <c r="I426" s="79"/>
      <c r="J426" s="79"/>
      <c r="K426" s="79"/>
    </row>
    <row r="427" spans="2:11" ht="18.75" customHeight="1" hidden="1">
      <c r="B427" s="79"/>
      <c r="C427" s="232"/>
      <c r="D427" s="232"/>
      <c r="E427" s="233"/>
      <c r="F427" s="235"/>
      <c r="G427" s="235"/>
      <c r="H427" s="79"/>
      <c r="I427" s="79"/>
      <c r="J427" s="79"/>
      <c r="K427" s="79"/>
    </row>
    <row r="428" spans="2:11" ht="27" customHeight="1" hidden="1">
      <c r="B428" s="79"/>
      <c r="C428" s="232"/>
      <c r="D428" s="232"/>
      <c r="E428" s="233"/>
      <c r="F428" s="235"/>
      <c r="G428" s="235"/>
      <c r="H428" s="79"/>
      <c r="I428" s="79"/>
      <c r="J428" s="79" t="s">
        <v>20</v>
      </c>
      <c r="K428" s="79"/>
    </row>
    <row r="429" spans="2:8" ht="22.5" hidden="1">
      <c r="B429" s="79"/>
      <c r="C429" s="232"/>
      <c r="D429" s="232"/>
      <c r="E429" s="233"/>
      <c r="F429" s="239"/>
      <c r="G429" s="239"/>
      <c r="H429" s="85"/>
    </row>
    <row r="430" spans="2:5" ht="18" customHeight="1" hidden="1">
      <c r="B430" s="79"/>
      <c r="C430" s="232"/>
      <c r="D430" s="240"/>
      <c r="E430" s="233"/>
    </row>
    <row r="431" spans="2:5" ht="22.5" hidden="1">
      <c r="B431" s="79"/>
      <c r="C431" s="232"/>
      <c r="E431" s="233"/>
    </row>
    <row r="432" spans="2:9" ht="21" customHeight="1">
      <c r="B432" s="79"/>
      <c r="C432" s="232"/>
      <c r="E432" s="241"/>
      <c r="F432" s="242"/>
      <c r="G432" s="242"/>
      <c r="I432" s="243"/>
    </row>
    <row r="433" spans="2:9" ht="21" customHeight="1">
      <c r="B433" s="79"/>
      <c r="C433" s="232"/>
      <c r="D433" s="238"/>
      <c r="E433" s="241"/>
      <c r="F433" s="244"/>
      <c r="G433" s="244"/>
      <c r="I433" s="245"/>
    </row>
    <row r="434" spans="1:14" s="77" customFormat="1" ht="21" customHeight="1">
      <c r="A434" s="55"/>
      <c r="B434" s="79"/>
      <c r="C434" s="232"/>
      <c r="D434" s="246"/>
      <c r="E434" s="238"/>
      <c r="F434" s="247"/>
      <c r="G434" s="247"/>
      <c r="L434" s="85"/>
      <c r="M434" s="84"/>
      <c r="N434" s="51"/>
    </row>
    <row r="435" spans="1:14" s="77" customFormat="1" ht="18.75" customHeight="1">
      <c r="A435" s="55"/>
      <c r="B435" s="79"/>
      <c r="C435" s="240"/>
      <c r="L435" s="85"/>
      <c r="M435" s="84"/>
      <c r="N435" s="51"/>
    </row>
    <row r="436" spans="1:14" s="77" customFormat="1" ht="22.5" customHeight="1">
      <c r="A436" s="55"/>
      <c r="D436" s="248"/>
      <c r="L436" s="85"/>
      <c r="M436" s="84"/>
      <c r="N436" s="51"/>
    </row>
    <row r="437" spans="1:14" s="77" customFormat="1" ht="18">
      <c r="A437" s="55"/>
      <c r="B437" s="85"/>
      <c r="L437" s="85"/>
      <c r="M437" s="84"/>
      <c r="N437" s="51"/>
    </row>
  </sheetData>
  <sheetProtection/>
  <mergeCells count="215">
    <mergeCell ref="K1:M1"/>
    <mergeCell ref="K2:M2"/>
    <mergeCell ref="B3:L3"/>
    <mergeCell ref="A5:A9"/>
    <mergeCell ref="B5:C9"/>
    <mergeCell ref="D5:D9"/>
    <mergeCell ref="E5:E9"/>
    <mergeCell ref="F5:J5"/>
    <mergeCell ref="A12:M12"/>
    <mergeCell ref="A13:M13"/>
    <mergeCell ref="M5:M9"/>
    <mergeCell ref="F6:F9"/>
    <mergeCell ref="G6:J6"/>
    <mergeCell ref="G7:I7"/>
    <mergeCell ref="J7:J9"/>
    <mergeCell ref="L5:L9"/>
    <mergeCell ref="H8:I8"/>
    <mergeCell ref="G8:G9"/>
    <mergeCell ref="A14:M14"/>
    <mergeCell ref="A15:A20"/>
    <mergeCell ref="B15:B20"/>
    <mergeCell ref="M15:M22"/>
    <mergeCell ref="A21:A22"/>
    <mergeCell ref="B21:B22"/>
    <mergeCell ref="K5:K9"/>
    <mergeCell ref="B10:C10"/>
    <mergeCell ref="A11:M11"/>
    <mergeCell ref="M29:M38"/>
    <mergeCell ref="A27:A28"/>
    <mergeCell ref="B27:B28"/>
    <mergeCell ref="M27:M28"/>
    <mergeCell ref="A23:A26"/>
    <mergeCell ref="B23:B26"/>
    <mergeCell ref="M23:M26"/>
    <mergeCell ref="E50:E51"/>
    <mergeCell ref="F50:F51"/>
    <mergeCell ref="A39:A40"/>
    <mergeCell ref="B39:B40"/>
    <mergeCell ref="A29:A31"/>
    <mergeCell ref="B29:B31"/>
    <mergeCell ref="K50:K51"/>
    <mergeCell ref="L50:L51"/>
    <mergeCell ref="B41:B44"/>
    <mergeCell ref="A46:M46"/>
    <mergeCell ref="A47:M47"/>
    <mergeCell ref="A48:M48"/>
    <mergeCell ref="A49:M49"/>
    <mergeCell ref="A50:A55"/>
    <mergeCell ref="B50:C55"/>
    <mergeCell ref="D50:D51"/>
    <mergeCell ref="M50:M55"/>
    <mergeCell ref="A56:A61"/>
    <mergeCell ref="B56:C61"/>
    <mergeCell ref="M56:M61"/>
    <mergeCell ref="A62:A63"/>
    <mergeCell ref="B62:C63"/>
    <mergeCell ref="G50:G51"/>
    <mergeCell ref="H50:H51"/>
    <mergeCell ref="I50:I51"/>
    <mergeCell ref="J50:J51"/>
    <mergeCell ref="B64:C64"/>
    <mergeCell ref="A65:A70"/>
    <mergeCell ref="B65:C70"/>
    <mergeCell ref="M65:M70"/>
    <mergeCell ref="A71:A77"/>
    <mergeCell ref="B71:C77"/>
    <mergeCell ref="M71:M74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A78:A83"/>
    <mergeCell ref="B78:C83"/>
    <mergeCell ref="M78:M83"/>
    <mergeCell ref="A84:A90"/>
    <mergeCell ref="B84:C90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90"/>
    <mergeCell ref="A91:A96"/>
    <mergeCell ref="B91:C96"/>
    <mergeCell ref="M91:M96"/>
    <mergeCell ref="A97:A143"/>
    <mergeCell ref="B97:C143"/>
    <mergeCell ref="D97:D103"/>
    <mergeCell ref="E97:E103"/>
    <mergeCell ref="M97:M166"/>
    <mergeCell ref="D104:D111"/>
    <mergeCell ref="E104:E111"/>
    <mergeCell ref="D112:D119"/>
    <mergeCell ref="E112:E119"/>
    <mergeCell ref="D120:D127"/>
    <mergeCell ref="E120:E127"/>
    <mergeCell ref="D128:D135"/>
    <mergeCell ref="E128:E135"/>
    <mergeCell ref="D136:D143"/>
    <mergeCell ref="E136:E143"/>
    <mergeCell ref="A144:A174"/>
    <mergeCell ref="B144:C174"/>
    <mergeCell ref="D144:D150"/>
    <mergeCell ref="E144:E150"/>
    <mergeCell ref="D151:D158"/>
    <mergeCell ref="E151:E158"/>
    <mergeCell ref="D159:D166"/>
    <mergeCell ref="E159:E166"/>
    <mergeCell ref="D167:D174"/>
    <mergeCell ref="E167:E174"/>
    <mergeCell ref="A175:A180"/>
    <mergeCell ref="B175:C180"/>
    <mergeCell ref="M175:M180"/>
    <mergeCell ref="B181:C181"/>
    <mergeCell ref="B182:C182"/>
    <mergeCell ref="B183:C183"/>
    <mergeCell ref="B184:C184"/>
    <mergeCell ref="B185:C185"/>
    <mergeCell ref="B186:C186"/>
    <mergeCell ref="A187:A192"/>
    <mergeCell ref="B187:C192"/>
    <mergeCell ref="M187:M192"/>
    <mergeCell ref="A193:M193"/>
    <mergeCell ref="A194:M194"/>
    <mergeCell ref="A195:M195"/>
    <mergeCell ref="A196:M196"/>
    <mergeCell ref="A197:A240"/>
    <mergeCell ref="B197:B229"/>
    <mergeCell ref="M197:M247"/>
    <mergeCell ref="L200:L205"/>
    <mergeCell ref="B230:B231"/>
    <mergeCell ref="B232:B233"/>
    <mergeCell ref="B234:B235"/>
    <mergeCell ref="B237:B240"/>
    <mergeCell ref="A241:A242"/>
    <mergeCell ref="B241:B242"/>
    <mergeCell ref="D241:D242"/>
    <mergeCell ref="A243:A244"/>
    <mergeCell ref="B243:B244"/>
    <mergeCell ref="D243:D244"/>
    <mergeCell ref="A245:A247"/>
    <mergeCell ref="B245:B247"/>
    <mergeCell ref="D245:D247"/>
    <mergeCell ref="L245:L246"/>
    <mergeCell ref="A248:A261"/>
    <mergeCell ref="B248:B261"/>
    <mergeCell ref="M248:M255"/>
    <mergeCell ref="M256:M261"/>
    <mergeCell ref="A262:A265"/>
    <mergeCell ref="B262:B265"/>
    <mergeCell ref="A266:A267"/>
    <mergeCell ref="M266:M267"/>
    <mergeCell ref="M269:M270"/>
    <mergeCell ref="A270:A272"/>
    <mergeCell ref="B274:C274"/>
    <mergeCell ref="B275:C275"/>
    <mergeCell ref="M275:M276"/>
    <mergeCell ref="B276:C276"/>
    <mergeCell ref="A277:A279"/>
    <mergeCell ref="B277:C279"/>
    <mergeCell ref="A280:A283"/>
    <mergeCell ref="B280:B283"/>
    <mergeCell ref="A284:A289"/>
    <mergeCell ref="B284:B289"/>
    <mergeCell ref="B294:C294"/>
    <mergeCell ref="A296:A301"/>
    <mergeCell ref="B296:C301"/>
    <mergeCell ref="A302:M302"/>
    <mergeCell ref="A303:M303"/>
    <mergeCell ref="A304:K304"/>
    <mergeCell ref="A305:A314"/>
    <mergeCell ref="B305:C314"/>
    <mergeCell ref="M305:M369"/>
    <mergeCell ref="A316:A369"/>
    <mergeCell ref="B316:C369"/>
    <mergeCell ref="D316:D323"/>
    <mergeCell ref="D324:D329"/>
    <mergeCell ref="D330:D339"/>
    <mergeCell ref="D340:D349"/>
    <mergeCell ref="D360:D369"/>
    <mergeCell ref="A370:A375"/>
    <mergeCell ref="B370:C375"/>
    <mergeCell ref="A376:M376"/>
    <mergeCell ref="A377:L377"/>
    <mergeCell ref="A378:M378"/>
    <mergeCell ref="A379:A384"/>
    <mergeCell ref="B379:C384"/>
    <mergeCell ref="M379:M384"/>
    <mergeCell ref="A385:M385"/>
    <mergeCell ref="A386:M386"/>
    <mergeCell ref="A387:M387"/>
    <mergeCell ref="A388:A393"/>
    <mergeCell ref="B388:C393"/>
    <mergeCell ref="M388:M393"/>
    <mergeCell ref="A394:A399"/>
    <mergeCell ref="B394:C399"/>
    <mergeCell ref="M394:M399"/>
    <mergeCell ref="A400:A405"/>
    <mergeCell ref="B400:C405"/>
    <mergeCell ref="M400:M405"/>
    <mergeCell ref="A406:A411"/>
    <mergeCell ref="B406:C411"/>
    <mergeCell ref="B412:C412"/>
    <mergeCell ref="A413:A419"/>
    <mergeCell ref="B413:C419"/>
    <mergeCell ref="B420:C424"/>
  </mergeCells>
  <printOptions/>
  <pageMargins left="0.37" right="0.2755905511811024" top="0.7480314960629921" bottom="0.15748031496062992" header="0.15748031496062992" footer="0.15748031496062992"/>
  <pageSetup horizontalDpi="600" verticalDpi="600" orientation="landscape" paperSize="9" scale="33" r:id="rId1"/>
  <rowBreaks count="5" manualBreakCount="5">
    <brk id="123" max="12" man="1"/>
    <brk id="180" max="12" man="1"/>
    <brk id="192" max="12" man="1"/>
    <brk id="354" max="12" man="1"/>
    <brk id="39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2020-01-27T14:25:38Z</cp:lastPrinted>
  <dcterms:created xsi:type="dcterms:W3CDTF">2010-09-22T11:49:59Z</dcterms:created>
  <dcterms:modified xsi:type="dcterms:W3CDTF">2020-01-30T10:52:31Z</dcterms:modified>
  <cp:category/>
  <cp:version/>
  <cp:contentType/>
  <cp:contentStatus/>
</cp:coreProperties>
</file>