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tabRatio="478" activeTab="0"/>
  </bookViews>
  <sheets>
    <sheet name="Изменения на 2019 год" sheetId="1" r:id="rId1"/>
  </sheets>
  <definedNames>
    <definedName name="_xlnm.Print_Titles" localSheetId="0">'Изменения на 2019 год'!$7:$12</definedName>
    <definedName name="_xlnm.Print_Area" localSheetId="0">'Изменения на 2019 год'!$A$1:$M$267</definedName>
  </definedNames>
  <calcPr fullCalcOnLoad="1"/>
</workbook>
</file>

<file path=xl/sharedStrings.xml><?xml version="1.0" encoding="utf-8"?>
<sst xmlns="http://schemas.openxmlformats.org/spreadsheetml/2006/main" count="306" uniqueCount="157">
  <si>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</si>
  <si>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</si>
  <si>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</si>
  <si>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</si>
  <si>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</si>
  <si>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</si>
  <si>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</si>
  <si>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</si>
  <si>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</si>
  <si>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</si>
  <si>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</si>
  <si>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</si>
  <si>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</si>
  <si>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</si>
  <si>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</si>
  <si>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</si>
  <si>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</si>
  <si>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</si>
  <si>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</si>
  <si>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</si>
  <si>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</si>
  <si>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</si>
  <si>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</si>
  <si>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</si>
  <si>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2. «Обеспечение лицензионных требований к деятельности образовательных учреждений»</t>
  </si>
  <si>
    <t>5. "Социальная поддержка населения"</t>
  </si>
  <si>
    <t>МБДОУ ЦРР Д/С № 5</t>
  </si>
  <si>
    <t>МБОУСОШ №1</t>
  </si>
  <si>
    <t>МБОУСОШ №2</t>
  </si>
  <si>
    <t>Централизованная бухгалтерия, методический кабинет управления образования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</si>
  <si>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</si>
  <si>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</si>
  <si>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</si>
  <si>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</si>
  <si>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Образовательные учреждения</t>
  </si>
  <si>
    <t>Управление образования, МБОУ ДОД ЦВР "Лад"</t>
  </si>
  <si>
    <t>ИТОГО по подпрограмме:</t>
  </si>
  <si>
    <t xml:space="preserve">2017 г. </t>
  </si>
  <si>
    <t xml:space="preserve">2018 г. </t>
  </si>
  <si>
    <t xml:space="preserve">2019 г. 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</si>
  <si>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</si>
  <si>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</si>
  <si>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</si>
  <si>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</si>
  <si>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</si>
  <si>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</si>
  <si>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текущий ремонт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</si>
  <si>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</si>
  <si>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</si>
  <si>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</si>
  <si>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</si>
  <si>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1.12. Вырубка деревьев на территории образовательных учреждений</t>
  </si>
  <si>
    <t>Итого по разделу 3:</t>
  </si>
  <si>
    <t>МБОУ ДОД ЦВР "Лад",МБОУ СОШ №1 , МБДОУ ЦРР Д/С №5; Д/с 3; Д/с 6;СОШ №2</t>
  </si>
  <si>
    <t>2020 г.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</si>
  <si>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</si>
  <si>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</si>
  <si>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</si>
  <si>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</si>
  <si>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</si>
  <si>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</si>
  <si>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</si>
  <si>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ГКМХ</t>
  </si>
  <si>
    <t>Образовательные учреждения (сош 2)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</si>
  <si>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</si>
  <si>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</si>
  <si>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</si>
  <si>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</si>
  <si>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</si>
  <si>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</si>
  <si>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</si>
  <si>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 xml:space="preserve">            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</si>
  <si>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</si>
  <si>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</si>
  <si>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</si>
  <si>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</si>
  <si>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</si>
  <si>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</si>
  <si>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</si>
  <si>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>Управление образщования</t>
  </si>
  <si>
    <t xml:space="preserve">Цель: Развитие инфраструктуры и обеспечение безопасности обучающихся и работников образовательных учреждений во время их учебной и трудовой деятельности путем проведения реконструкций, капитального и текущего ремонтов, повышения безопасности жизнедеятельности: пожарной, антитеррористической, а также технической и электрической безопасности зданий, сооружений образовательных учреждений </t>
  </si>
  <si>
    <t xml:space="preserve">          3. Выполнение основных общеобразовательных программ дошкольного образования в части реализации, содержания и воспитания.</t>
  </si>
  <si>
    <r>
      <t>Задачи: 1. 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 2</t>
    </r>
    <r>
      <rPr>
        <sz val="14"/>
        <rFont val="Times New Roman"/>
        <family val="1"/>
      </rPr>
      <t>. Обеспечение норм СанПиН для дошкольных, общеобразовательных учреждений и учреждений дополнительного образования.</t>
    </r>
  </si>
  <si>
    <t xml:space="preserve">Задачи:
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
</t>
  </si>
  <si>
    <t>Цель:Повышение эффективности управления  в системе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</si>
  <si>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</si>
  <si>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</si>
  <si>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</si>
  <si>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Задача: Обеспечение условий реализации образовательных программ соответствующих уровней 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</si>
  <si>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</si>
  <si>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</si>
  <si>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 xml:space="preserve">       4.   Мероприятия муниципальной подпрограммы «Развитие общего, дошкольного и дополнительного образования ЗАТО г.Радужный Владимирской области»</t>
  </si>
  <si>
    <t>текущий . ремонт, в т.ч.</t>
  </si>
  <si>
    <t>ремонт. пищеблока МБДОУ Д/С №5</t>
  </si>
  <si>
    <t>Цель: обеспечение доступности качественного дошкольного,  общего  и дополнительного  образования, соответствующего требованиям развития экономики, современным потребностям общества и каждого гражданина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</si>
  <si>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</si>
  <si>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</si>
  <si>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</si>
  <si>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</si>
  <si>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</si>
  <si>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</si>
  <si>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</si>
  <si>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</si>
  <si>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</si>
  <si>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</si>
  <si>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</si>
  <si>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</si>
  <si>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</si>
  <si>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 xml:space="preserve"> Поощрение лучших учителей-лаурятов областного конкурса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</si>
  <si>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</si>
  <si>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</si>
  <si>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</si>
  <si>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 xml:space="preserve"> Оснащение пунктов проведения экзаменов системами видеонаблюдения, переносными металлоискателями при проведении государственной итоговой аттестации по образовательным программам среднего образования</t>
  </si>
  <si>
    <t>1.10.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</si>
  <si>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</si>
  <si>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</si>
  <si>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 xml:space="preserve"> Общеобразовательных учреждений (текущий ремонт)</t>
  </si>
  <si>
    <t>2.1.2.</t>
  </si>
  <si>
    <t xml:space="preserve"> Учреждения дополнительного образования (текущий ремонт)</t>
  </si>
  <si>
    <t>2.1.3..</t>
  </si>
  <si>
    <t>Дошкольных учреждений  (текущий ремонт)</t>
  </si>
  <si>
    <t>3.1.</t>
  </si>
  <si>
    <t>.Нормативные затраты, непосредственно связанные с оказанием муниципальных услуг</t>
  </si>
  <si>
    <t>3.2.</t>
  </si>
  <si>
    <t xml:space="preserve"> Выполнение  функций муниципального задания  </t>
  </si>
  <si>
    <t>4.1.</t>
  </si>
  <si>
    <t xml:space="preserve"> Расходы на обеспечение деятельности (оказания услуг) муниципальных организаций</t>
  </si>
  <si>
    <t>5.1.</t>
  </si>
  <si>
    <t xml:space="preserve"> Социальная поддержка детей-инвалидов дошкольного возраста</t>
  </si>
  <si>
    <t>5.2.</t>
  </si>
  <si>
    <t xml:space="preserve"> Соцальная поддерка по оплате жилья и коммуных услуг отдельным категориям граждан</t>
  </si>
  <si>
    <t>5.3.</t>
  </si>
  <si>
    <t xml:space="preserve"> Компенсация части родительской платы за содержание ребенка в  муниципальных образовательных учреждениях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</si>
  <si>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</si>
  <si>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</si>
  <si>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</si>
  <si>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</si>
  <si>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</si>
  <si>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</si>
  <si>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</si>
  <si>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</si>
  <si>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Проектные  работы , реконструкция , текущий ремонт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</si>
  <si>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</si>
  <si>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</si>
  <si>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</si>
  <si>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</si>
  <si>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</si>
  <si>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</si>
  <si>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</si>
  <si>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</si>
  <si>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</si>
  <si>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</si>
  <si>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</si>
  <si>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>Цвр "Лад"</t>
  </si>
  <si>
    <t>2021 г.</t>
  </si>
  <si>
    <t>2017-2021г.г.</t>
  </si>
  <si>
    <t xml:space="preserve">                                                                                                                                                                              Приложение № 2 к Программе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</si>
</sst>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_-* #,##0.0000_р_._-;\-* #,##0.0000_р_._-;_-* &quot;-&quot;??_р_._-;_-@_-"/>
    <numFmt numFmtId="190" formatCode="_-* #,##0.00000_р_._-;\-* #,##0.00000_р_._-;_-* &quot;-&quot;??_р_._-;_-@_-"/>
  </numFmts>
  <fonts count="5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179" fontId="1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14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8" fontId="15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6" fillId="0" borderId="0" xfId="0" applyNumberFormat="1" applyFont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177" fontId="13" fillId="33" borderId="13" xfId="0" applyNumberFormat="1" applyFont="1" applyFill="1" applyBorder="1" applyAlignment="1">
      <alignment horizontal="center" vertical="top" wrapText="1"/>
    </xf>
    <xf numFmtId="177" fontId="17" fillId="33" borderId="12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13" fillId="34" borderId="12" xfId="0" applyFont="1" applyFill="1" applyBorder="1" applyAlignment="1">
      <alignment horizontal="center" vertical="top" wrapText="1"/>
    </xf>
    <xf numFmtId="177" fontId="14" fillId="34" borderId="11" xfId="0" applyNumberFormat="1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vertical="top" wrapText="1"/>
    </xf>
    <xf numFmtId="178" fontId="7" fillId="0" borderId="0" xfId="0" applyNumberFormat="1" applyFont="1" applyAlignment="1">
      <alignment/>
    </xf>
    <xf numFmtId="177" fontId="17" fillId="33" borderId="13" xfId="0" applyNumberFormat="1" applyFont="1" applyFill="1" applyBorder="1" applyAlignment="1">
      <alignment horizontal="center" vertical="top" wrapText="1"/>
    </xf>
    <xf numFmtId="177" fontId="14" fillId="33" borderId="12" xfId="0" applyNumberFormat="1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77" fontId="13" fillId="0" borderId="14" xfId="0" applyNumberFormat="1" applyFont="1" applyBorder="1" applyAlignment="1">
      <alignment vertical="top" wrapText="1"/>
    </xf>
    <xf numFmtId="177" fontId="4" fillId="34" borderId="0" xfId="0" applyNumberFormat="1" applyFont="1" applyFill="1" applyAlignment="1">
      <alignment/>
    </xf>
    <xf numFmtId="0" fontId="17" fillId="33" borderId="2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177" fontId="17" fillId="0" borderId="12" xfId="0" applyNumberFormat="1" applyFont="1" applyFill="1" applyBorder="1" applyAlignment="1">
      <alignment horizontal="center" vertical="top" wrapText="1"/>
    </xf>
    <xf numFmtId="177" fontId="14" fillId="0" borderId="11" xfId="0" applyNumberFormat="1" applyFont="1" applyFill="1" applyBorder="1" applyAlignment="1">
      <alignment horizontal="center" vertical="top" wrapText="1"/>
    </xf>
    <xf numFmtId="178" fontId="13" fillId="0" borderId="12" xfId="0" applyNumberFormat="1" applyFont="1" applyFill="1" applyBorder="1" applyAlignment="1">
      <alignment vertical="top" wrapText="1"/>
    </xf>
    <xf numFmtId="178" fontId="13" fillId="0" borderId="16" xfId="0" applyNumberFormat="1" applyFont="1" applyFill="1" applyBorder="1" applyAlignment="1">
      <alignment vertical="top" wrapText="1"/>
    </xf>
    <xf numFmtId="178" fontId="14" fillId="0" borderId="12" xfId="0" applyNumberFormat="1" applyFont="1" applyFill="1" applyBorder="1" applyAlignment="1">
      <alignment horizontal="center" vertical="top" wrapText="1"/>
    </xf>
    <xf numFmtId="178" fontId="14" fillId="0" borderId="14" xfId="0" applyNumberFormat="1" applyFont="1" applyFill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1" fontId="14" fillId="0" borderId="17" xfId="0" applyNumberFormat="1" applyFont="1" applyFill="1" applyBorder="1" applyAlignment="1">
      <alignment horizontal="center" vertical="top" wrapText="1"/>
    </xf>
    <xf numFmtId="177" fontId="13" fillId="0" borderId="13" xfId="0" applyNumberFormat="1" applyFont="1" applyFill="1" applyBorder="1" applyAlignment="1">
      <alignment horizontal="center" vertical="top" wrapText="1"/>
    </xf>
    <xf numFmtId="177" fontId="13" fillId="34" borderId="13" xfId="0" applyNumberFormat="1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177" fontId="14" fillId="0" borderId="12" xfId="0" applyNumberFormat="1" applyFont="1" applyFill="1" applyBorder="1" applyAlignment="1">
      <alignment horizontal="center" vertical="top" wrapText="1"/>
    </xf>
    <xf numFmtId="179" fontId="17" fillId="33" borderId="11" xfId="0" applyNumberFormat="1" applyFont="1" applyFill="1" applyBorder="1" applyAlignment="1">
      <alignment horizontal="center" vertical="top" wrapText="1"/>
    </xf>
    <xf numFmtId="177" fontId="17" fillId="0" borderId="11" xfId="0" applyNumberFormat="1" applyFont="1" applyFill="1" applyBorder="1" applyAlignment="1">
      <alignment horizontal="center" vertical="top" wrapText="1"/>
    </xf>
    <xf numFmtId="177" fontId="17" fillId="33" borderId="11" xfId="0" applyNumberFormat="1" applyFont="1" applyFill="1" applyBorder="1" applyAlignment="1">
      <alignment horizontal="center" vertical="top" wrapText="1"/>
    </xf>
    <xf numFmtId="177" fontId="8" fillId="33" borderId="13" xfId="0" applyNumberFormat="1" applyFont="1" applyFill="1" applyBorder="1" applyAlignment="1">
      <alignment horizontal="center" vertical="top" wrapText="1"/>
    </xf>
    <xf numFmtId="177" fontId="8" fillId="33" borderId="11" xfId="0" applyNumberFormat="1" applyFont="1" applyFill="1" applyBorder="1" applyAlignment="1">
      <alignment horizontal="center" vertical="top" wrapText="1"/>
    </xf>
    <xf numFmtId="177" fontId="8" fillId="33" borderId="1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/>
    </xf>
    <xf numFmtId="177" fontId="17" fillId="0" borderId="2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left" vertical="top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77" fontId="8" fillId="33" borderId="23" xfId="0" applyNumberFormat="1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77" fontId="17" fillId="0" borderId="24" xfId="0" applyNumberFormat="1" applyFont="1" applyBorder="1" applyAlignment="1">
      <alignment horizontal="center" vertical="center" wrapText="1"/>
    </xf>
    <xf numFmtId="177" fontId="13" fillId="33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Fill="1" applyBorder="1" applyAlignment="1">
      <alignment horizontal="center" vertical="top" wrapText="1"/>
    </xf>
    <xf numFmtId="177" fontId="13" fillId="34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34" borderId="19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9" fontId="14" fillId="0" borderId="10" xfId="0" applyNumberFormat="1" applyFont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4" fillId="34" borderId="0" xfId="0" applyFont="1" applyFill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/>
    </xf>
    <xf numFmtId="0" fontId="5" fillId="34" borderId="3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justify" vertical="top" wrapText="1"/>
    </xf>
    <xf numFmtId="1" fontId="13" fillId="34" borderId="19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horizontal="center" vertical="top" wrapText="1"/>
    </xf>
    <xf numFmtId="0" fontId="5" fillId="34" borderId="35" xfId="0" applyFont="1" applyFill="1" applyBorder="1" applyAlignment="1">
      <alignment horizontal="center" vertical="top" wrapText="1"/>
    </xf>
    <xf numFmtId="1" fontId="13" fillId="34" borderId="10" xfId="0" applyNumberFormat="1" applyFont="1" applyFill="1" applyBorder="1" applyAlignment="1">
      <alignment horizontal="center" vertical="top" wrapText="1"/>
    </xf>
    <xf numFmtId="177" fontId="13" fillId="0" borderId="16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177" fontId="13" fillId="0" borderId="17" xfId="0" applyNumberFormat="1" applyFont="1" applyFill="1" applyBorder="1" applyAlignment="1">
      <alignment horizontal="center" vertical="top" wrapText="1"/>
    </xf>
    <xf numFmtId="177" fontId="14" fillId="34" borderId="12" xfId="0" applyNumberFormat="1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34" borderId="13" xfId="0" applyFont="1" applyFill="1" applyBorder="1" applyAlignment="1">
      <alignment horizontal="center" vertical="top" wrapText="1"/>
    </xf>
    <xf numFmtId="177" fontId="14" fillId="34" borderId="13" xfId="0" applyNumberFormat="1" applyFont="1" applyFill="1" applyBorder="1" applyAlignment="1">
      <alignment horizontal="center" vertical="top" wrapText="1"/>
    </xf>
    <xf numFmtId="0" fontId="5" fillId="34" borderId="36" xfId="0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center" vertical="top" wrapText="1"/>
    </xf>
    <xf numFmtId="179" fontId="17" fillId="33" borderId="19" xfId="0" applyNumberFormat="1" applyFont="1" applyFill="1" applyBorder="1" applyAlignment="1">
      <alignment horizontal="center" vertical="top" wrapText="1"/>
    </xf>
    <xf numFmtId="179" fontId="17" fillId="0" borderId="10" xfId="0" applyNumberFormat="1" applyFont="1" applyBorder="1" applyAlignment="1">
      <alignment horizontal="center" vertical="top" wrapText="1"/>
    </xf>
    <xf numFmtId="177" fontId="17" fillId="33" borderId="37" xfId="0" applyNumberFormat="1" applyFont="1" applyFill="1" applyBorder="1" applyAlignment="1">
      <alignment horizontal="center" vertical="top" wrapText="1"/>
    </xf>
    <xf numFmtId="177" fontId="17" fillId="33" borderId="38" xfId="0" applyNumberFormat="1" applyFont="1" applyFill="1" applyBorder="1" applyAlignment="1">
      <alignment horizontal="center" vertical="top" wrapText="1"/>
    </xf>
    <xf numFmtId="2" fontId="13" fillId="34" borderId="10" xfId="6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14" fillId="34" borderId="12" xfId="0" applyNumberFormat="1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horizontal="center" vertical="top" wrapText="1"/>
    </xf>
    <xf numFmtId="177" fontId="13" fillId="0" borderId="12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horizontal="center" vertical="center" wrapText="1"/>
    </xf>
    <xf numFmtId="177" fontId="14" fillId="0" borderId="22" xfId="0" applyNumberFormat="1" applyFont="1" applyBorder="1" applyAlignment="1">
      <alignment horizontal="center" vertical="center" wrapText="1"/>
    </xf>
    <xf numFmtId="177" fontId="13" fillId="0" borderId="2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77" fontId="17" fillId="0" borderId="10" xfId="0" applyNumberFormat="1" applyFont="1" applyBorder="1" applyAlignment="1">
      <alignment horizontal="center" vertical="top" wrapText="1"/>
    </xf>
    <xf numFmtId="179" fontId="8" fillId="33" borderId="11" xfId="0" applyNumberFormat="1" applyFont="1" applyFill="1" applyBorder="1" applyAlignment="1">
      <alignment horizontal="center" vertical="top" wrapText="1"/>
    </xf>
    <xf numFmtId="177" fontId="17" fillId="0" borderId="12" xfId="0" applyNumberFormat="1" applyFont="1" applyBorder="1" applyAlignment="1">
      <alignment horizontal="center" vertical="top" wrapText="1"/>
    </xf>
    <xf numFmtId="177" fontId="17" fillId="0" borderId="14" xfId="0" applyNumberFormat="1" applyFont="1" applyBorder="1" applyAlignment="1">
      <alignment horizontal="center" vertical="top" wrapText="1"/>
    </xf>
    <xf numFmtId="179" fontId="17" fillId="0" borderId="12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17" fillId="33" borderId="11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178" fontId="13" fillId="0" borderId="14" xfId="0" applyNumberFormat="1" applyFont="1" applyFill="1" applyBorder="1" applyAlignment="1">
      <alignment horizontal="center" vertical="top" wrapText="1"/>
    </xf>
    <xf numFmtId="178" fontId="13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177" fontId="6" fillId="0" borderId="12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14" fillId="0" borderId="11" xfId="0" applyNumberFormat="1" applyFont="1" applyBorder="1" applyAlignment="1">
      <alignment horizontal="center" vertical="top" wrapText="1"/>
    </xf>
    <xf numFmtId="178" fontId="14" fillId="0" borderId="12" xfId="0" applyNumberFormat="1" applyFont="1" applyBorder="1" applyAlignment="1">
      <alignment horizontal="center" vertical="top" wrapText="1"/>
    </xf>
    <xf numFmtId="178" fontId="17" fillId="0" borderId="14" xfId="0" applyNumberFormat="1" applyFont="1" applyBorder="1" applyAlignment="1">
      <alignment horizontal="center" vertical="center" wrapText="1"/>
    </xf>
    <xf numFmtId="178" fontId="14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177" fontId="14" fillId="34" borderId="13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2" fontId="14" fillId="34" borderId="12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1" fontId="14" fillId="34" borderId="11" xfId="0" applyNumberFormat="1" applyFont="1" applyFill="1" applyBorder="1" applyAlignment="1">
      <alignment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" fontId="14" fillId="34" borderId="10" xfId="0" applyNumberFormat="1" applyFont="1" applyFill="1" applyBorder="1" applyAlignment="1">
      <alignment vertical="center" wrapText="1"/>
    </xf>
    <xf numFmtId="177" fontId="13" fillId="34" borderId="12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vertical="center" wrapText="1"/>
    </xf>
    <xf numFmtId="1" fontId="14" fillId="34" borderId="12" xfId="0" applyNumberFormat="1" applyFont="1" applyFill="1" applyBorder="1" applyAlignment="1">
      <alignment vertical="center" wrapText="1"/>
    </xf>
    <xf numFmtId="2" fontId="14" fillId="34" borderId="13" xfId="0" applyNumberFormat="1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2" fontId="13" fillId="34" borderId="14" xfId="0" applyNumberFormat="1" applyFont="1" applyFill="1" applyBorder="1" applyAlignment="1">
      <alignment horizontal="center" vertical="center" wrapText="1"/>
    </xf>
    <xf numFmtId="177" fontId="14" fillId="34" borderId="13" xfId="0" applyNumberFormat="1" applyFont="1" applyFill="1" applyBorder="1" applyAlignment="1">
      <alignment horizontal="center" vertical="center" wrapText="1"/>
    </xf>
    <xf numFmtId="178" fontId="14" fillId="34" borderId="13" xfId="0" applyNumberFormat="1" applyFont="1" applyFill="1" applyBorder="1" applyAlignment="1">
      <alignment horizontal="center" vertical="center" wrapText="1"/>
    </xf>
    <xf numFmtId="178" fontId="13" fillId="34" borderId="13" xfId="0" applyNumberFormat="1" applyFont="1" applyFill="1" applyBorder="1" applyAlignment="1">
      <alignment horizontal="center" vertical="center" wrapText="1"/>
    </xf>
    <xf numFmtId="178" fontId="14" fillId="34" borderId="20" xfId="0" applyNumberFormat="1" applyFont="1" applyFill="1" applyBorder="1" applyAlignment="1">
      <alignment horizontal="center" vertical="center" wrapText="1"/>
    </xf>
    <xf numFmtId="178" fontId="14" fillId="34" borderId="19" xfId="0" applyNumberFormat="1" applyFont="1" applyFill="1" applyBorder="1" applyAlignment="1">
      <alignment horizontal="center" vertical="center" wrapText="1"/>
    </xf>
    <xf numFmtId="178" fontId="13" fillId="34" borderId="12" xfId="0" applyNumberFormat="1" applyFont="1" applyFill="1" applyBorder="1" applyAlignment="1">
      <alignment horizontal="center" vertical="center" wrapText="1"/>
    </xf>
    <xf numFmtId="178" fontId="13" fillId="34" borderId="39" xfId="0" applyNumberFormat="1" applyFont="1" applyFill="1" applyBorder="1" applyAlignment="1">
      <alignment horizontal="center" vertical="center" wrapText="1"/>
    </xf>
    <xf numFmtId="178" fontId="14" fillId="33" borderId="12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1" fontId="13" fillId="34" borderId="11" xfId="0" applyNumberFormat="1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43" fontId="13" fillId="34" borderId="10" xfId="60" applyFont="1" applyFill="1" applyBorder="1" applyAlignment="1">
      <alignment horizontal="left" vertical="center" wrapText="1"/>
    </xf>
    <xf numFmtId="0" fontId="13" fillId="34" borderId="17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2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justify" vertical="center" wrapText="1"/>
    </xf>
    <xf numFmtId="2" fontId="13" fillId="34" borderId="23" xfId="0" applyNumberFormat="1" applyFont="1" applyFill="1" applyBorder="1" applyAlignment="1">
      <alignment horizontal="center" vertical="center" wrapText="1"/>
    </xf>
    <xf numFmtId="0" fontId="13" fillId="34" borderId="19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justify" vertical="center" wrapText="1"/>
    </xf>
    <xf numFmtId="2" fontId="13" fillId="34" borderId="20" xfId="0" applyNumberFormat="1" applyFont="1" applyFill="1" applyBorder="1" applyAlignment="1">
      <alignment horizontal="center" vertical="center" wrapText="1"/>
    </xf>
    <xf numFmtId="2" fontId="13" fillId="34" borderId="21" xfId="0" applyNumberFormat="1" applyFont="1" applyFill="1" applyBorder="1" applyAlignment="1">
      <alignment horizontal="center" vertical="center" wrapText="1"/>
    </xf>
    <xf numFmtId="179" fontId="14" fillId="34" borderId="12" xfId="0" applyNumberFormat="1" applyFont="1" applyFill="1" applyBorder="1" applyAlignment="1">
      <alignment horizontal="center" vertical="center" wrapText="1"/>
    </xf>
    <xf numFmtId="2" fontId="14" fillId="33" borderId="14" xfId="60" applyNumberFormat="1" applyFont="1" applyFill="1" applyBorder="1" applyAlignment="1">
      <alignment horizontal="center" vertical="center" wrapText="1"/>
    </xf>
    <xf numFmtId="177" fontId="14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7" fontId="13" fillId="33" borderId="13" xfId="0" applyNumberFormat="1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Fill="1" applyBorder="1" applyAlignment="1">
      <alignment horizontal="center" vertical="center" wrapText="1"/>
    </xf>
    <xf numFmtId="2" fontId="13" fillId="33" borderId="42" xfId="0" applyNumberFormat="1" applyFont="1" applyFill="1" applyBorder="1" applyAlignment="1">
      <alignment horizontal="center" vertical="top" wrapText="1"/>
    </xf>
    <xf numFmtId="2" fontId="13" fillId="34" borderId="18" xfId="0" applyNumberFormat="1" applyFont="1" applyFill="1" applyBorder="1" applyAlignment="1">
      <alignment horizontal="center" vertical="top" wrapText="1"/>
    </xf>
    <xf numFmtId="2" fontId="13" fillId="34" borderId="18" xfId="0" applyNumberFormat="1" applyFont="1" applyFill="1" applyBorder="1" applyAlignment="1">
      <alignment horizontal="center" vertical="center" wrapText="1"/>
    </xf>
    <xf numFmtId="177" fontId="13" fillId="34" borderId="13" xfId="0" applyNumberFormat="1" applyFont="1" applyFill="1" applyBorder="1" applyAlignment="1">
      <alignment horizontal="center" vertical="center" wrapText="1"/>
    </xf>
    <xf numFmtId="177" fontId="14" fillId="34" borderId="19" xfId="0" applyNumberFormat="1" applyFont="1" applyFill="1" applyBorder="1" applyAlignment="1">
      <alignment horizontal="center" vertical="center" wrapText="1"/>
    </xf>
    <xf numFmtId="2" fontId="14" fillId="34" borderId="18" xfId="0" applyNumberFormat="1" applyFont="1" applyFill="1" applyBorder="1" applyAlignment="1">
      <alignment horizontal="center" vertical="center" wrapText="1"/>
    </xf>
    <xf numFmtId="177" fontId="14" fillId="34" borderId="12" xfId="0" applyNumberFormat="1" applyFont="1" applyFill="1" applyBorder="1" applyAlignment="1">
      <alignment horizontal="center" vertical="center" wrapText="1"/>
    </xf>
    <xf numFmtId="177" fontId="14" fillId="34" borderId="14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78" fontId="13" fillId="34" borderId="10" xfId="0" applyNumberFormat="1" applyFont="1" applyFill="1" applyBorder="1" applyAlignment="1">
      <alignment horizontal="center" vertical="center" wrapText="1"/>
    </xf>
    <xf numFmtId="178" fontId="13" fillId="34" borderId="11" xfId="0" applyNumberFormat="1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177" fontId="14" fillId="34" borderId="0" xfId="0" applyNumberFormat="1" applyFont="1" applyFill="1" applyBorder="1" applyAlignment="1">
      <alignment horizontal="center" vertical="center" wrapText="1"/>
    </xf>
    <xf numFmtId="178" fontId="13" fillId="34" borderId="20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4" fillId="0" borderId="10" xfId="6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177" fontId="14" fillId="0" borderId="3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8" fontId="14" fillId="34" borderId="10" xfId="0" applyNumberFormat="1" applyFont="1" applyFill="1" applyBorder="1" applyAlignment="1">
      <alignment horizontal="center" vertical="center" wrapText="1"/>
    </xf>
    <xf numFmtId="178" fontId="14" fillId="34" borderId="12" xfId="0" applyNumberFormat="1" applyFont="1" applyFill="1" applyBorder="1" applyAlignment="1">
      <alignment horizontal="center" vertical="center" wrapText="1"/>
    </xf>
    <xf numFmtId="177" fontId="14" fillId="34" borderId="34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177" fontId="14" fillId="33" borderId="11" xfId="0" applyNumberFormat="1" applyFont="1" applyFill="1" applyBorder="1" applyAlignment="1">
      <alignment horizontal="center" vertical="center" wrapText="1"/>
    </xf>
    <xf numFmtId="177" fontId="14" fillId="0" borderId="28" xfId="0" applyNumberFormat="1" applyFont="1" applyBorder="1" applyAlignment="1">
      <alignment horizontal="center" vertical="center" wrapText="1"/>
    </xf>
    <xf numFmtId="177" fontId="14" fillId="0" borderId="20" xfId="0" applyNumberFormat="1" applyFont="1" applyBorder="1" applyAlignment="1">
      <alignment horizontal="center" vertical="center" wrapText="1"/>
    </xf>
    <xf numFmtId="178" fontId="14" fillId="33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77" fontId="14" fillId="0" borderId="42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33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77" fontId="14" fillId="33" borderId="0" xfId="60" applyNumberFormat="1" applyFont="1" applyFill="1" applyBorder="1" applyAlignment="1">
      <alignment horizontal="center" vertical="center" wrapText="1"/>
    </xf>
    <xf numFmtId="177" fontId="13" fillId="0" borderId="12" xfId="0" applyNumberFormat="1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7" fontId="14" fillId="33" borderId="14" xfId="60" applyNumberFormat="1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wrapText="1"/>
    </xf>
    <xf numFmtId="177" fontId="14" fillId="33" borderId="16" xfId="60" applyNumberFormat="1" applyFont="1" applyFill="1" applyBorder="1" applyAlignment="1">
      <alignment horizontal="center" vertical="center" wrapText="1"/>
    </xf>
    <xf numFmtId="177" fontId="13" fillId="0" borderId="38" xfId="0" applyNumberFormat="1" applyFont="1" applyBorder="1" applyAlignment="1">
      <alignment horizontal="center" vertical="center" wrapText="1"/>
    </xf>
    <xf numFmtId="177" fontId="13" fillId="34" borderId="20" xfId="0" applyNumberFormat="1" applyFont="1" applyFill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vertical="center" wrapText="1"/>
    </xf>
    <xf numFmtId="178" fontId="13" fillId="0" borderId="16" xfId="0" applyNumberFormat="1" applyFont="1" applyFill="1" applyBorder="1" applyAlignment="1">
      <alignment vertical="center" wrapText="1"/>
    </xf>
    <xf numFmtId="177" fontId="13" fillId="0" borderId="28" xfId="0" applyNumberFormat="1" applyFont="1" applyBorder="1" applyAlignment="1">
      <alignment horizontal="center" vertical="center" wrapText="1"/>
    </xf>
    <xf numFmtId="178" fontId="13" fillId="0" borderId="12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Fill="1" applyBorder="1" applyAlignment="1">
      <alignment horizontal="center" wrapText="1"/>
    </xf>
    <xf numFmtId="177" fontId="13" fillId="0" borderId="43" xfId="0" applyNumberFormat="1" applyFont="1" applyBorder="1" applyAlignment="1">
      <alignment horizontal="center" vertical="center" wrapText="1"/>
    </xf>
    <xf numFmtId="177" fontId="8" fillId="33" borderId="21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177" fontId="8" fillId="33" borderId="39" xfId="0" applyNumberFormat="1" applyFont="1" applyFill="1" applyBorder="1" applyAlignment="1">
      <alignment horizontal="center" vertical="center" wrapText="1"/>
    </xf>
    <xf numFmtId="178" fontId="56" fillId="34" borderId="12" xfId="0" applyNumberFormat="1" applyFont="1" applyFill="1" applyBorder="1" applyAlignment="1">
      <alignment horizontal="center" vertical="center" wrapText="1"/>
    </xf>
    <xf numFmtId="178" fontId="13" fillId="34" borderId="12" xfId="0" applyNumberFormat="1" applyFont="1" applyFill="1" applyBorder="1" applyAlignment="1">
      <alignment horizontal="center" vertical="top" wrapText="1"/>
    </xf>
    <xf numFmtId="0" fontId="13" fillId="0" borderId="28" xfId="0" applyNumberFormat="1" applyFont="1" applyBorder="1" applyAlignment="1">
      <alignment horizontal="center" vertical="center" wrapText="1"/>
    </xf>
    <xf numFmtId="178" fontId="13" fillId="35" borderId="12" xfId="0" applyNumberFormat="1" applyFont="1" applyFill="1" applyBorder="1" applyAlignment="1">
      <alignment horizontal="center" vertical="center" wrapText="1"/>
    </xf>
    <xf numFmtId="178" fontId="14" fillId="34" borderId="11" xfId="0" applyNumberFormat="1" applyFont="1" applyFill="1" applyBorder="1" applyAlignment="1">
      <alignment horizontal="center" vertical="top" wrapText="1"/>
    </xf>
    <xf numFmtId="178" fontId="14" fillId="34" borderId="10" xfId="0" applyNumberFormat="1" applyFont="1" applyFill="1" applyBorder="1" applyAlignment="1">
      <alignment horizontal="center" vertical="top" wrapText="1"/>
    </xf>
    <xf numFmtId="178" fontId="14" fillId="34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1" fontId="14" fillId="34" borderId="12" xfId="0" applyNumberFormat="1" applyFont="1" applyFill="1" applyBorder="1" applyAlignment="1">
      <alignment horizontal="center" vertical="center" wrapText="1"/>
    </xf>
    <xf numFmtId="177" fontId="8" fillId="33" borderId="18" xfId="0" applyNumberFormat="1" applyFont="1" applyFill="1" applyBorder="1" applyAlignment="1">
      <alignment horizontal="center" vertical="top" wrapText="1"/>
    </xf>
    <xf numFmtId="177" fontId="17" fillId="33" borderId="2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179" fontId="14" fillId="0" borderId="11" xfId="0" applyNumberFormat="1" applyFont="1" applyFill="1" applyBorder="1" applyAlignment="1">
      <alignment horizontal="center" vertical="top" wrapText="1"/>
    </xf>
    <xf numFmtId="2" fontId="13" fillId="0" borderId="12" xfId="0" applyNumberFormat="1" applyFont="1" applyFill="1" applyBorder="1" applyAlignment="1">
      <alignment horizontal="center" vertical="top" wrapText="1"/>
    </xf>
    <xf numFmtId="190" fontId="13" fillId="0" borderId="12" xfId="60" applyNumberFormat="1" applyFont="1" applyFill="1" applyBorder="1" applyAlignment="1">
      <alignment horizontal="center" vertical="center" wrapText="1"/>
    </xf>
    <xf numFmtId="2" fontId="14" fillId="34" borderId="18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178" fontId="13" fillId="34" borderId="2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7" fontId="8" fillId="33" borderId="21" xfId="0" applyNumberFormat="1" applyFont="1" applyFill="1" applyBorder="1" applyAlignment="1">
      <alignment horizontal="center" vertical="top" wrapText="1"/>
    </xf>
    <xf numFmtId="177" fontId="17" fillId="33" borderId="23" xfId="0" applyNumberFormat="1" applyFont="1" applyFill="1" applyBorder="1" applyAlignment="1">
      <alignment horizontal="center" vertical="top" wrapText="1"/>
    </xf>
    <xf numFmtId="177" fontId="17" fillId="33" borderId="44" xfId="0" applyNumberFormat="1" applyFont="1" applyFill="1" applyBorder="1" applyAlignment="1">
      <alignment horizontal="center" vertical="top" wrapText="1"/>
    </xf>
    <xf numFmtId="177" fontId="8" fillId="33" borderId="44" xfId="0" applyNumberFormat="1" applyFont="1" applyFill="1" applyBorder="1" applyAlignment="1">
      <alignment horizontal="center" vertical="top" wrapText="1"/>
    </xf>
    <xf numFmtId="177" fontId="8" fillId="33" borderId="35" xfId="0" applyNumberFormat="1" applyFont="1" applyFill="1" applyBorder="1" applyAlignment="1">
      <alignment horizontal="center" vertical="top" wrapText="1"/>
    </xf>
    <xf numFmtId="178" fontId="13" fillId="34" borderId="45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7" fillId="0" borderId="42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" fontId="8" fillId="0" borderId="18" xfId="0" applyNumberFormat="1" applyFont="1" applyBorder="1" applyAlignment="1">
      <alignment horizontal="center" vertical="center" wrapText="1"/>
    </xf>
    <xf numFmtId="16" fontId="8" fillId="0" borderId="15" xfId="0" applyNumberFormat="1" applyFont="1" applyBorder="1" applyAlignment="1">
      <alignment horizontal="center" vertical="center" wrapText="1"/>
    </xf>
    <xf numFmtId="16" fontId="8" fillId="0" borderId="42" xfId="0" applyNumberFormat="1" applyFont="1" applyBorder="1" applyAlignment="1">
      <alignment horizontal="center" vertical="center" wrapText="1"/>
    </xf>
    <xf numFmtId="16" fontId="8" fillId="0" borderId="21" xfId="0" applyNumberFormat="1" applyFont="1" applyBorder="1" applyAlignment="1">
      <alignment horizontal="center" vertical="center" wrapText="1"/>
    </xf>
    <xf numFmtId="16" fontId="8" fillId="0" borderId="28" xfId="0" applyNumberFormat="1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 wrapText="1"/>
    </xf>
    <xf numFmtId="16" fontId="18" fillId="0" borderId="19" xfId="0" applyNumberFormat="1" applyFont="1" applyBorder="1" applyAlignment="1">
      <alignment horizontal="center" vertical="center" wrapText="1"/>
    </xf>
    <xf numFmtId="16" fontId="18" fillId="0" borderId="14" xfId="0" applyNumberFormat="1" applyFont="1" applyBorder="1" applyAlignment="1">
      <alignment horizontal="center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7" fillId="33" borderId="13" xfId="0" applyFont="1" applyFill="1" applyBorder="1" applyAlignment="1">
      <alignment horizontal="center" vertical="top" wrapText="1"/>
    </xf>
    <xf numFmtId="0" fontId="17" fillId="33" borderId="23" xfId="0" applyFont="1" applyFill="1" applyBorder="1" applyAlignment="1">
      <alignment horizontal="center" vertical="top" wrapText="1"/>
    </xf>
    <xf numFmtId="0" fontId="17" fillId="33" borderId="20" xfId="0" applyFont="1" applyFill="1" applyBorder="1" applyAlignment="1">
      <alignment horizontal="center" vertical="top" wrapText="1"/>
    </xf>
    <xf numFmtId="0" fontId="17" fillId="33" borderId="5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3" borderId="50" xfId="0" applyFont="1" applyFill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2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13" fillId="34" borderId="15" xfId="0" applyNumberFormat="1" applyFont="1" applyFill="1" applyBorder="1" applyAlignment="1">
      <alignment horizontal="center" vertical="top" wrapText="1"/>
    </xf>
    <xf numFmtId="178" fontId="13" fillId="34" borderId="21" xfId="0" applyNumberFormat="1" applyFont="1" applyFill="1" applyBorder="1" applyAlignment="1">
      <alignment horizontal="center" vertical="top" wrapText="1"/>
    </xf>
    <xf numFmtId="178" fontId="13" fillId="34" borderId="11" xfId="0" applyNumberFormat="1" applyFont="1" applyFill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vertical="top" wrapText="1"/>
    </xf>
    <xf numFmtId="0" fontId="13" fillId="34" borderId="42" xfId="0" applyFont="1" applyFill="1" applyBorder="1" applyAlignment="1">
      <alignment horizontal="center" vertical="top" wrapText="1"/>
    </xf>
    <xf numFmtId="0" fontId="13" fillId="34" borderId="2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horizontal="left" vertical="top" wrapText="1"/>
    </xf>
    <xf numFmtId="0" fontId="5" fillId="34" borderId="42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28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13" fillId="34" borderId="47" xfId="0" applyFont="1" applyFill="1" applyBorder="1" applyAlignment="1">
      <alignment horizontal="center" vertical="top" wrapText="1"/>
    </xf>
    <xf numFmtId="0" fontId="13" fillId="34" borderId="48" xfId="0" applyFont="1" applyFill="1" applyBorder="1" applyAlignment="1">
      <alignment horizontal="center" vertical="top" wrapText="1"/>
    </xf>
    <xf numFmtId="0" fontId="13" fillId="34" borderId="44" xfId="0" applyFont="1" applyFill="1" applyBorder="1" applyAlignment="1">
      <alignment horizontal="center" vertical="top" wrapText="1"/>
    </xf>
    <xf numFmtId="2" fontId="14" fillId="34" borderId="49" xfId="0" applyNumberFormat="1" applyFont="1" applyFill="1" applyBorder="1" applyAlignment="1">
      <alignment horizontal="center" vertical="center" wrapText="1"/>
    </xf>
    <xf numFmtId="2" fontId="14" fillId="34" borderId="50" xfId="0" applyNumberFormat="1" applyFont="1" applyFill="1" applyBorder="1" applyAlignment="1">
      <alignment horizontal="center" vertical="center" wrapText="1"/>
    </xf>
    <xf numFmtId="2" fontId="14" fillId="34" borderId="51" xfId="0" applyNumberFormat="1" applyFont="1" applyFill="1" applyBorder="1" applyAlignment="1">
      <alignment horizontal="center" vertical="center" wrapText="1"/>
    </xf>
    <xf numFmtId="2" fontId="14" fillId="34" borderId="13" xfId="60" applyNumberFormat="1" applyFont="1" applyFill="1" applyBorder="1" applyAlignment="1">
      <alignment horizontal="center" vertical="top" wrapText="1"/>
    </xf>
    <xf numFmtId="2" fontId="14" fillId="34" borderId="23" xfId="60" applyNumberFormat="1" applyFont="1" applyFill="1" applyBorder="1" applyAlignment="1">
      <alignment horizontal="center" vertical="top" wrapText="1"/>
    </xf>
    <xf numFmtId="2" fontId="14" fillId="34" borderId="20" xfId="60" applyNumberFormat="1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2" fontId="14" fillId="34" borderId="13" xfId="0" applyNumberFormat="1" applyFont="1" applyFill="1" applyBorder="1" applyAlignment="1">
      <alignment horizontal="center" vertical="top" wrapText="1"/>
    </xf>
    <xf numFmtId="0" fontId="14" fillId="34" borderId="20" xfId="0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horizontal="center" vertical="top" wrapText="1"/>
    </xf>
    <xf numFmtId="2" fontId="14" fillId="34" borderId="28" xfId="0" applyNumberFormat="1" applyFont="1" applyFill="1" applyBorder="1" applyAlignment="1">
      <alignment horizontal="center" vertical="top" wrapText="1"/>
    </xf>
    <xf numFmtId="2" fontId="14" fillId="34" borderId="13" xfId="0" applyNumberFormat="1" applyFont="1" applyFill="1" applyBorder="1" applyAlignment="1">
      <alignment horizontal="center" vertical="center" wrapText="1"/>
    </xf>
    <xf numFmtId="2" fontId="14" fillId="34" borderId="20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14" fillId="34" borderId="47" xfId="0" applyFont="1" applyFill="1" applyBorder="1" applyAlignment="1">
      <alignment horizontal="center" vertical="top" wrapText="1"/>
    </xf>
    <xf numFmtId="0" fontId="14" fillId="34" borderId="48" xfId="0" applyFont="1" applyFill="1" applyBorder="1" applyAlignment="1">
      <alignment horizontal="center" vertical="top" wrapText="1"/>
    </xf>
    <xf numFmtId="0" fontId="14" fillId="34" borderId="44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2" fontId="14" fillId="34" borderId="47" xfId="0" applyNumberFormat="1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23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36" xfId="0" applyFont="1" applyFill="1" applyBorder="1" applyAlignment="1">
      <alignment horizontal="center" vertical="top" wrapText="1"/>
    </xf>
    <xf numFmtId="0" fontId="5" fillId="34" borderId="54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6" fillId="33" borderId="16" xfId="0" applyFont="1" applyFill="1" applyBorder="1" applyAlignment="1">
      <alignment horizontal="justify" vertical="top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vertical="top" wrapText="1"/>
    </xf>
    <xf numFmtId="0" fontId="5" fillId="34" borderId="42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vertical="top" wrapText="1"/>
    </xf>
    <xf numFmtId="0" fontId="5" fillId="34" borderId="28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178" fontId="13" fillId="34" borderId="13" xfId="0" applyNumberFormat="1" applyFont="1" applyFill="1" applyBorder="1" applyAlignment="1">
      <alignment horizontal="center" vertical="center" wrapText="1"/>
    </xf>
    <xf numFmtId="178" fontId="13" fillId="34" borderId="20" xfId="0" applyNumberFormat="1" applyFont="1" applyFill="1" applyBorder="1" applyAlignment="1">
      <alignment horizontal="center" vertical="center" wrapText="1"/>
    </xf>
    <xf numFmtId="178" fontId="14" fillId="34" borderId="13" xfId="0" applyNumberFormat="1" applyFont="1" applyFill="1" applyBorder="1" applyAlignment="1">
      <alignment horizontal="center" vertical="center" wrapText="1"/>
    </xf>
    <xf numFmtId="178" fontId="14" fillId="34" borderId="20" xfId="0" applyNumberFormat="1" applyFont="1" applyFill="1" applyBorder="1" applyAlignment="1">
      <alignment horizontal="center" vertical="center" wrapText="1"/>
    </xf>
    <xf numFmtId="177" fontId="14" fillId="34" borderId="13" xfId="0" applyNumberFormat="1" applyFont="1" applyFill="1" applyBorder="1" applyAlignment="1">
      <alignment horizontal="center" vertical="top" wrapText="1"/>
    </xf>
    <xf numFmtId="177" fontId="14" fillId="34" borderId="23" xfId="0" applyNumberFormat="1" applyFont="1" applyFill="1" applyBorder="1" applyAlignment="1">
      <alignment horizontal="center" vertical="top" wrapText="1"/>
    </xf>
    <xf numFmtId="177" fontId="14" fillId="34" borderId="20" xfId="0" applyNumberFormat="1" applyFont="1" applyFill="1" applyBorder="1" applyAlignment="1">
      <alignment horizontal="center" vertical="top" wrapText="1"/>
    </xf>
    <xf numFmtId="0" fontId="14" fillId="34" borderId="23" xfId="0" applyFont="1" applyFill="1" applyBorder="1" applyAlignment="1">
      <alignment horizontal="center" vertical="top" wrapText="1"/>
    </xf>
    <xf numFmtId="0" fontId="17" fillId="33" borderId="20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16" fontId="8" fillId="33" borderId="18" xfId="0" applyNumberFormat="1" applyFont="1" applyFill="1" applyBorder="1" applyAlignment="1">
      <alignment horizontal="center" vertical="center" wrapText="1"/>
    </xf>
    <xf numFmtId="16" fontId="8" fillId="33" borderId="15" xfId="0" applyNumberFormat="1" applyFont="1" applyFill="1" applyBorder="1" applyAlignment="1">
      <alignment horizontal="center" vertical="center" wrapText="1"/>
    </xf>
    <xf numFmtId="16" fontId="8" fillId="33" borderId="42" xfId="0" applyNumberFormat="1" applyFont="1" applyFill="1" applyBorder="1" applyAlignment="1">
      <alignment horizontal="center" vertical="center" wrapText="1"/>
    </xf>
    <xf numFmtId="16" fontId="8" fillId="33" borderId="21" xfId="0" applyNumberFormat="1" applyFont="1" applyFill="1" applyBorder="1" applyAlignment="1">
      <alignment horizontal="center" vertical="center" wrapText="1"/>
    </xf>
    <xf numFmtId="16" fontId="8" fillId="33" borderId="28" xfId="0" applyNumberFormat="1" applyFont="1" applyFill="1" applyBorder="1" applyAlignment="1">
      <alignment horizontal="center" vertical="center" wrapText="1"/>
    </xf>
    <xf numFmtId="16" fontId="8" fillId="33" borderId="11" xfId="0" applyNumberFormat="1" applyFont="1" applyFill="1" applyBorder="1" applyAlignment="1">
      <alignment horizontal="center" vertical="center" wrapText="1"/>
    </xf>
    <xf numFmtId="177" fontId="14" fillId="34" borderId="18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" fontId="8" fillId="0" borderId="18" xfId="0" applyNumberFormat="1" applyFont="1" applyBorder="1" applyAlignment="1">
      <alignment horizontal="center" vertical="top" wrapText="1"/>
    </xf>
    <xf numFmtId="16" fontId="8" fillId="0" borderId="15" xfId="0" applyNumberFormat="1" applyFont="1" applyBorder="1" applyAlignment="1">
      <alignment horizontal="center" vertical="top" wrapText="1"/>
    </xf>
    <xf numFmtId="16" fontId="8" fillId="0" borderId="42" xfId="0" applyNumberFormat="1" applyFont="1" applyBorder="1" applyAlignment="1">
      <alignment horizontal="center" vertical="top" wrapText="1"/>
    </xf>
    <xf numFmtId="16" fontId="8" fillId="0" borderId="21" xfId="0" applyNumberFormat="1" applyFont="1" applyBorder="1" applyAlignment="1">
      <alignment horizontal="center" vertical="top" wrapText="1"/>
    </xf>
    <xf numFmtId="16" fontId="8" fillId="0" borderId="28" xfId="0" applyNumberFormat="1" applyFont="1" applyBorder="1" applyAlignment="1">
      <alignment horizontal="center" vertical="top" wrapText="1"/>
    </xf>
    <xf numFmtId="16" fontId="8" fillId="0" borderId="11" xfId="0" applyNumberFormat="1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left" vertical="center" wrapText="1"/>
    </xf>
    <xf numFmtId="14" fontId="8" fillId="33" borderId="15" xfId="0" applyNumberFormat="1" applyFont="1" applyFill="1" applyBorder="1" applyAlignment="1">
      <alignment horizontal="left" vertical="center" wrapText="1"/>
    </xf>
    <xf numFmtId="14" fontId="8" fillId="33" borderId="42" xfId="0" applyNumberFormat="1" applyFont="1" applyFill="1" applyBorder="1" applyAlignment="1">
      <alignment horizontal="left" vertical="center" wrapText="1"/>
    </xf>
    <xf numFmtId="14" fontId="8" fillId="33" borderId="21" xfId="0" applyNumberFormat="1" applyFont="1" applyFill="1" applyBorder="1" applyAlignment="1">
      <alignment horizontal="left" vertical="center" wrapText="1"/>
    </xf>
    <xf numFmtId="14" fontId="8" fillId="33" borderId="28" xfId="0" applyNumberFormat="1" applyFont="1" applyFill="1" applyBorder="1" applyAlignment="1">
      <alignment horizontal="left" vertical="center" wrapText="1"/>
    </xf>
    <xf numFmtId="14" fontId="8" fillId="33" borderId="11" xfId="0" applyNumberFormat="1" applyFont="1" applyFill="1" applyBorder="1" applyAlignment="1">
      <alignment horizontal="left" vertical="center" wrapText="1"/>
    </xf>
    <xf numFmtId="2" fontId="14" fillId="34" borderId="18" xfId="0" applyNumberFormat="1" applyFont="1" applyFill="1" applyBorder="1" applyAlignment="1">
      <alignment horizontal="center" vertical="center" wrapText="1"/>
    </xf>
    <xf numFmtId="2" fontId="14" fillId="34" borderId="4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4" fillId="34" borderId="13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42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5" fillId="34" borderId="11" xfId="0" applyFont="1" applyFill="1" applyBorder="1" applyAlignment="1">
      <alignment horizontal="center" vertical="top" wrapText="1"/>
    </xf>
    <xf numFmtId="0" fontId="5" fillId="34" borderId="47" xfId="0" applyFont="1" applyFill="1" applyBorder="1" applyAlignment="1">
      <alignment horizontal="center" vertical="top" wrapText="1"/>
    </xf>
    <xf numFmtId="0" fontId="5" fillId="34" borderId="48" xfId="0" applyFont="1" applyFill="1" applyBorder="1" applyAlignment="1">
      <alignment horizontal="center" vertical="top" wrapText="1"/>
    </xf>
    <xf numFmtId="0" fontId="5" fillId="34" borderId="4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2" fontId="14" fillId="34" borderId="47" xfId="0" applyNumberFormat="1" applyFont="1" applyFill="1" applyBorder="1" applyAlignment="1">
      <alignment horizontal="center" vertical="top" wrapText="1"/>
    </xf>
    <xf numFmtId="2" fontId="14" fillId="34" borderId="4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view="pageBreakPreview" zoomScale="50" zoomScaleNormal="60" zoomScaleSheetLayoutView="50" zoomScalePageLayoutView="50" workbookViewId="0" topLeftCell="C1">
      <selection activeCell="H4" sqref="H4:M4"/>
    </sheetView>
  </sheetViews>
  <sheetFormatPr defaultColWidth="9.00390625" defaultRowHeight="12.75"/>
  <cols>
    <col min="1" max="1" width="11.625" style="0" customWidth="1"/>
    <col min="2" max="2" width="43.625" style="0" customWidth="1"/>
    <col min="3" max="3" width="17.50390625" style="0" customWidth="1"/>
    <col min="4" max="4" width="19.625" style="0" customWidth="1"/>
    <col min="5" max="5" width="28.00390625" style="0" customWidth="1"/>
    <col min="6" max="7" width="26.50390625" style="0" customWidth="1"/>
    <col min="8" max="8" width="24.375" style="0" customWidth="1"/>
    <col min="9" max="9" width="24.50390625" style="0" customWidth="1"/>
    <col min="10" max="10" width="25.50390625" style="0" customWidth="1"/>
    <col min="11" max="11" width="19.625" style="0" customWidth="1"/>
    <col min="12" max="12" width="32.50390625" style="0" customWidth="1"/>
    <col min="13" max="13" width="82.125" style="0" customWidth="1"/>
  </cols>
  <sheetData>
    <row r="1" spans="3:13" ht="25.5" customHeight="1">
      <c r="C1" s="634" t="s">
        <v>156</v>
      </c>
      <c r="D1" s="634"/>
      <c r="E1" s="634"/>
      <c r="F1" s="634"/>
      <c r="G1" s="634"/>
      <c r="H1" s="634"/>
      <c r="I1" s="634"/>
      <c r="J1" s="634"/>
      <c r="K1" s="634"/>
      <c r="L1" s="634"/>
      <c r="M1" s="634"/>
    </row>
    <row r="2" spans="3:13" ht="25.5" customHeight="1"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</row>
    <row r="3" spans="3:13" ht="25.5" customHeight="1"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</row>
    <row r="4" spans="8:13" ht="25.5" customHeight="1">
      <c r="H4" s="362"/>
      <c r="I4" s="362"/>
      <c r="J4" s="362"/>
      <c r="K4" s="362"/>
      <c r="L4" s="362"/>
      <c r="M4" s="362"/>
    </row>
    <row r="5" spans="2:13" ht="61.5" customHeight="1">
      <c r="B5" s="376" t="s">
        <v>91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1"/>
    </row>
    <row r="6" ht="13.5" thickBot="1">
      <c r="J6" t="s">
        <v>18</v>
      </c>
    </row>
    <row r="7" spans="1:13" ht="28.5" customHeight="1" thickBot="1">
      <c r="A7" s="598"/>
      <c r="B7" s="599" t="s">
        <v>9</v>
      </c>
      <c r="C7" s="600"/>
      <c r="D7" s="377" t="s">
        <v>10</v>
      </c>
      <c r="E7" s="380" t="s">
        <v>0</v>
      </c>
      <c r="F7" s="483" t="s">
        <v>15</v>
      </c>
      <c r="G7" s="484"/>
      <c r="H7" s="484"/>
      <c r="I7" s="484"/>
      <c r="J7" s="485"/>
      <c r="K7" s="489" t="s">
        <v>16</v>
      </c>
      <c r="L7" s="383" t="s">
        <v>1</v>
      </c>
      <c r="M7" s="486" t="s">
        <v>2</v>
      </c>
    </row>
    <row r="8" spans="1:13" ht="28.5" customHeight="1" thickBot="1">
      <c r="A8" s="598"/>
      <c r="B8" s="601"/>
      <c r="C8" s="602"/>
      <c r="D8" s="378"/>
      <c r="E8" s="381"/>
      <c r="F8" s="386" t="s">
        <v>13</v>
      </c>
      <c r="G8" s="495" t="s">
        <v>134</v>
      </c>
      <c r="H8" s="495"/>
      <c r="I8" s="495"/>
      <c r="J8" s="496"/>
      <c r="K8" s="490"/>
      <c r="L8" s="384"/>
      <c r="M8" s="487"/>
    </row>
    <row r="9" spans="1:13" ht="28.5" customHeight="1" thickBot="1">
      <c r="A9" s="598"/>
      <c r="B9" s="601"/>
      <c r="C9" s="602"/>
      <c r="D9" s="378"/>
      <c r="E9" s="381"/>
      <c r="F9" s="387"/>
      <c r="G9" s="494" t="s">
        <v>137</v>
      </c>
      <c r="H9" s="484"/>
      <c r="I9" s="485"/>
      <c r="J9" s="386" t="s">
        <v>133</v>
      </c>
      <c r="K9" s="490"/>
      <c r="L9" s="384"/>
      <c r="M9" s="487"/>
    </row>
    <row r="10" spans="1:13" ht="28.5" customHeight="1" thickBot="1">
      <c r="A10" s="598"/>
      <c r="B10" s="601"/>
      <c r="C10" s="602"/>
      <c r="D10" s="378"/>
      <c r="E10" s="381"/>
      <c r="F10" s="387"/>
      <c r="G10" s="492" t="s">
        <v>135</v>
      </c>
      <c r="H10" s="483" t="s">
        <v>136</v>
      </c>
      <c r="I10" s="485"/>
      <c r="J10" s="387"/>
      <c r="K10" s="490"/>
      <c r="L10" s="384"/>
      <c r="M10" s="487"/>
    </row>
    <row r="11" spans="1:13" ht="73.5" customHeight="1" thickBot="1">
      <c r="A11" s="598"/>
      <c r="B11" s="603"/>
      <c r="C11" s="604"/>
      <c r="D11" s="379"/>
      <c r="E11" s="382"/>
      <c r="F11" s="388"/>
      <c r="G11" s="493"/>
      <c r="H11" s="163" t="s">
        <v>138</v>
      </c>
      <c r="I11" s="164" t="s">
        <v>139</v>
      </c>
      <c r="J11" s="388"/>
      <c r="K11" s="491"/>
      <c r="L11" s="385"/>
      <c r="M11" s="488"/>
    </row>
    <row r="12" spans="1:13" ht="18" thickBot="1">
      <c r="A12" s="134">
        <v>1</v>
      </c>
      <c r="B12" s="605">
        <v>2</v>
      </c>
      <c r="C12" s="606"/>
      <c r="D12" s="130">
        <v>3</v>
      </c>
      <c r="E12" s="130">
        <v>4</v>
      </c>
      <c r="F12" s="130">
        <v>5</v>
      </c>
      <c r="G12" s="130">
        <v>6</v>
      </c>
      <c r="H12" s="130">
        <v>7</v>
      </c>
      <c r="I12" s="133">
        <v>8</v>
      </c>
      <c r="J12" s="132">
        <v>9</v>
      </c>
      <c r="K12" s="130">
        <v>10</v>
      </c>
      <c r="L12" s="130">
        <v>11</v>
      </c>
      <c r="M12" s="130">
        <v>12</v>
      </c>
    </row>
    <row r="13" spans="1:13" ht="13.5" thickBot="1">
      <c r="A13" s="436"/>
      <c r="B13" s="477" t="s">
        <v>33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9"/>
    </row>
    <row r="14" spans="1:13" ht="13.5" thickBot="1">
      <c r="A14" s="436"/>
      <c r="B14" s="480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2"/>
    </row>
    <row r="15" spans="1:13" ht="18" thickBot="1">
      <c r="A15" s="118"/>
      <c r="B15" s="470" t="s">
        <v>94</v>
      </c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639"/>
    </row>
    <row r="16" spans="1:13" ht="86.25" customHeight="1">
      <c r="A16" s="119"/>
      <c r="B16" s="464" t="s">
        <v>83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6"/>
    </row>
    <row r="17" spans="1:13" ht="18" thickBot="1">
      <c r="A17" s="120"/>
      <c r="B17" s="467" t="s">
        <v>71</v>
      </c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9"/>
    </row>
    <row r="18" spans="1:13" ht="18" thickBot="1">
      <c r="A18" s="118"/>
      <c r="B18" s="470" t="s">
        <v>3</v>
      </c>
      <c r="C18" s="471"/>
      <c r="D18" s="472"/>
      <c r="E18" s="472"/>
      <c r="F18" s="472"/>
      <c r="G18" s="472"/>
      <c r="H18" s="472"/>
      <c r="I18" s="472"/>
      <c r="J18" s="472"/>
      <c r="K18" s="472"/>
      <c r="L18" s="472"/>
      <c r="M18" s="473"/>
    </row>
    <row r="19" spans="1:13" ht="21.75" customHeight="1" thickBot="1">
      <c r="A19" s="416" t="s">
        <v>95</v>
      </c>
      <c r="B19" s="503" t="s">
        <v>96</v>
      </c>
      <c r="C19" s="504"/>
      <c r="D19" s="462" t="s">
        <v>37</v>
      </c>
      <c r="E19" s="618">
        <f>F19+G19+J19+K19</f>
        <v>0</v>
      </c>
      <c r="F19" s="512"/>
      <c r="G19" s="515">
        <f>H19+I19</f>
        <v>0</v>
      </c>
      <c r="H19" s="497"/>
      <c r="I19" s="500">
        <v>0</v>
      </c>
      <c r="J19" s="500">
        <v>0</v>
      </c>
      <c r="K19" s="636"/>
      <c r="L19" s="457" t="s">
        <v>4</v>
      </c>
      <c r="M19" s="474" t="s">
        <v>85</v>
      </c>
    </row>
    <row r="20" spans="1:13" ht="14.25" customHeight="1" thickBot="1">
      <c r="A20" s="416"/>
      <c r="B20" s="505"/>
      <c r="C20" s="506"/>
      <c r="D20" s="463"/>
      <c r="E20" s="619"/>
      <c r="F20" s="513"/>
      <c r="G20" s="516"/>
      <c r="H20" s="498"/>
      <c r="I20" s="501"/>
      <c r="J20" s="501"/>
      <c r="K20" s="637"/>
      <c r="L20" s="458"/>
      <c r="M20" s="475"/>
    </row>
    <row r="21" spans="1:13" ht="21" customHeight="1" hidden="1" thickBot="1">
      <c r="A21" s="416"/>
      <c r="B21" s="505"/>
      <c r="C21" s="506"/>
      <c r="D21" s="463"/>
      <c r="E21" s="619"/>
      <c r="F21" s="513"/>
      <c r="G21" s="516"/>
      <c r="H21" s="498"/>
      <c r="I21" s="501"/>
      <c r="J21" s="501"/>
      <c r="K21" s="637"/>
      <c r="L21" s="458"/>
      <c r="M21" s="475"/>
    </row>
    <row r="22" spans="1:13" ht="24.75" customHeight="1" hidden="1" thickBot="1">
      <c r="A22" s="416"/>
      <c r="B22" s="505"/>
      <c r="C22" s="506"/>
      <c r="D22" s="463"/>
      <c r="E22" s="619"/>
      <c r="F22" s="513"/>
      <c r="G22" s="516"/>
      <c r="H22" s="498"/>
      <c r="I22" s="501"/>
      <c r="J22" s="501"/>
      <c r="K22" s="637"/>
      <c r="L22" s="458"/>
      <c r="M22" s="475"/>
    </row>
    <row r="23" spans="1:13" ht="21" customHeight="1" hidden="1" thickBot="1">
      <c r="A23" s="416"/>
      <c r="B23" s="505"/>
      <c r="C23" s="506"/>
      <c r="D23" s="463"/>
      <c r="E23" s="619"/>
      <c r="F23" s="513"/>
      <c r="G23" s="516"/>
      <c r="H23" s="498"/>
      <c r="I23" s="501"/>
      <c r="J23" s="501"/>
      <c r="K23" s="637"/>
      <c r="L23" s="458"/>
      <c r="M23" s="475"/>
    </row>
    <row r="24" spans="1:13" ht="21" customHeight="1" hidden="1" thickBot="1">
      <c r="A24" s="416"/>
      <c r="B24" s="505"/>
      <c r="C24" s="506"/>
      <c r="D24" s="463"/>
      <c r="E24" s="619"/>
      <c r="F24" s="513"/>
      <c r="G24" s="516"/>
      <c r="H24" s="498"/>
      <c r="I24" s="501"/>
      <c r="J24" s="501"/>
      <c r="K24" s="637"/>
      <c r="L24" s="458"/>
      <c r="M24" s="475"/>
    </row>
    <row r="25" spans="1:13" ht="18.75" customHeight="1" thickBot="1">
      <c r="A25" s="416"/>
      <c r="B25" s="505"/>
      <c r="C25" s="506"/>
      <c r="D25" s="463"/>
      <c r="E25" s="619"/>
      <c r="F25" s="514"/>
      <c r="G25" s="517"/>
      <c r="H25" s="499"/>
      <c r="I25" s="502"/>
      <c r="J25" s="502"/>
      <c r="K25" s="638"/>
      <c r="L25" s="635"/>
      <c r="M25" s="475"/>
    </row>
    <row r="26" spans="1:13" ht="24.75" customHeight="1" thickBot="1">
      <c r="A26" s="416"/>
      <c r="B26" s="505"/>
      <c r="C26" s="506"/>
      <c r="D26" s="460" t="s">
        <v>38</v>
      </c>
      <c r="E26" s="525">
        <f>F26+G26+J26+K26</f>
        <v>0</v>
      </c>
      <c r="F26" s="525"/>
      <c r="G26" s="640">
        <f>H26+I26</f>
        <v>0</v>
      </c>
      <c r="H26" s="518"/>
      <c r="I26" s="500">
        <v>0</v>
      </c>
      <c r="J26" s="500">
        <v>0</v>
      </c>
      <c r="K26" s="474"/>
      <c r="L26" s="457" t="s">
        <v>4</v>
      </c>
      <c r="M26" s="475"/>
    </row>
    <row r="27" spans="1:13" ht="22.5" customHeight="1" thickBot="1">
      <c r="A27" s="416"/>
      <c r="B27" s="505"/>
      <c r="C27" s="506"/>
      <c r="D27" s="461"/>
      <c r="E27" s="570"/>
      <c r="F27" s="526"/>
      <c r="G27" s="641"/>
      <c r="H27" s="519"/>
      <c r="I27" s="501"/>
      <c r="J27" s="501"/>
      <c r="K27" s="476"/>
      <c r="L27" s="458"/>
      <c r="M27" s="475"/>
    </row>
    <row r="28" spans="1:13" ht="21.75" customHeight="1" hidden="1" thickBot="1">
      <c r="A28" s="416"/>
      <c r="B28" s="505"/>
      <c r="C28" s="506"/>
      <c r="D28" s="461"/>
      <c r="E28" s="207"/>
      <c r="F28" s="131"/>
      <c r="G28" s="131"/>
      <c r="H28" s="520"/>
      <c r="I28" s="501"/>
      <c r="J28" s="501"/>
      <c r="K28" s="129"/>
      <c r="L28" s="459"/>
      <c r="M28" s="475"/>
    </row>
    <row r="29" spans="1:13" ht="11.25" customHeight="1" hidden="1" thickBot="1">
      <c r="A29" s="416"/>
      <c r="B29" s="505"/>
      <c r="C29" s="506"/>
      <c r="D29" s="461"/>
      <c r="E29" s="207"/>
      <c r="F29" s="131"/>
      <c r="G29" s="131"/>
      <c r="H29" s="520"/>
      <c r="I29" s="501"/>
      <c r="J29" s="501"/>
      <c r="K29" s="129"/>
      <c r="L29" s="459"/>
      <c r="M29" s="475"/>
    </row>
    <row r="30" spans="1:13" ht="21.75" customHeight="1" thickBot="1">
      <c r="A30" s="416"/>
      <c r="B30" s="505"/>
      <c r="C30" s="506"/>
      <c r="D30" s="456" t="s">
        <v>39</v>
      </c>
      <c r="E30" s="538">
        <f>F30+G30+J30+K30</f>
        <v>0</v>
      </c>
      <c r="F30" s="521"/>
      <c r="G30" s="523">
        <f>H30+I30</f>
        <v>0</v>
      </c>
      <c r="H30" s="532"/>
      <c r="I30" s="509">
        <v>0</v>
      </c>
      <c r="J30" s="509">
        <v>0</v>
      </c>
      <c r="K30" s="474"/>
      <c r="L30" s="543" t="s">
        <v>4</v>
      </c>
      <c r="M30" s="475"/>
    </row>
    <row r="31" spans="1:13" ht="27" customHeight="1" thickBot="1">
      <c r="A31" s="416"/>
      <c r="B31" s="505"/>
      <c r="C31" s="506"/>
      <c r="D31" s="456"/>
      <c r="E31" s="539"/>
      <c r="F31" s="522"/>
      <c r="G31" s="524"/>
      <c r="H31" s="533"/>
      <c r="I31" s="510"/>
      <c r="J31" s="510"/>
      <c r="K31" s="476"/>
      <c r="L31" s="543"/>
      <c r="M31" s="475"/>
    </row>
    <row r="32" spans="1:13" ht="21.75" customHeight="1" hidden="1" thickBot="1">
      <c r="A32" s="416"/>
      <c r="B32" s="505"/>
      <c r="C32" s="506"/>
      <c r="D32" s="456"/>
      <c r="E32" s="208"/>
      <c r="F32" s="131"/>
      <c r="G32" s="131"/>
      <c r="H32" s="533"/>
      <c r="I32" s="510"/>
      <c r="J32" s="510"/>
      <c r="K32" s="143"/>
      <c r="L32" s="544"/>
      <c r="M32" s="475"/>
    </row>
    <row r="33" spans="1:13" ht="54.75" customHeight="1" hidden="1" thickBot="1">
      <c r="A33" s="416"/>
      <c r="B33" s="505"/>
      <c r="C33" s="506"/>
      <c r="D33" s="456"/>
      <c r="E33" s="209"/>
      <c r="F33" s="131"/>
      <c r="G33" s="131"/>
      <c r="H33" s="534"/>
      <c r="I33" s="511"/>
      <c r="J33" s="511"/>
      <c r="K33" s="135"/>
      <c r="L33" s="544"/>
      <c r="M33" s="475"/>
    </row>
    <row r="34" spans="1:13" ht="54.75" customHeight="1" thickBot="1">
      <c r="A34" s="416"/>
      <c r="B34" s="505"/>
      <c r="C34" s="506"/>
      <c r="D34" s="223" t="s">
        <v>54</v>
      </c>
      <c r="E34" s="210">
        <f>F34+G34+J34+K34</f>
        <v>0</v>
      </c>
      <c r="F34" s="210"/>
      <c r="G34" s="165">
        <f>H34+I34</f>
        <v>0</v>
      </c>
      <c r="H34" s="63"/>
      <c r="I34" s="61">
        <v>0</v>
      </c>
      <c r="J34" s="61">
        <v>0</v>
      </c>
      <c r="K34" s="65"/>
      <c r="L34" s="144" t="s">
        <v>79</v>
      </c>
      <c r="M34" s="475"/>
    </row>
    <row r="35" spans="1:13" ht="44.25" customHeight="1" thickBot="1">
      <c r="A35" s="416"/>
      <c r="B35" s="507"/>
      <c r="C35" s="508"/>
      <c r="D35" s="223" t="s">
        <v>154</v>
      </c>
      <c r="E35" s="210">
        <f>F35+G35+J35+K35</f>
        <v>0</v>
      </c>
      <c r="F35" s="210"/>
      <c r="G35" s="165">
        <f>H35+I35</f>
        <v>0</v>
      </c>
      <c r="H35" s="63"/>
      <c r="I35" s="61">
        <v>0</v>
      </c>
      <c r="J35" s="61">
        <v>0</v>
      </c>
      <c r="K35" s="65"/>
      <c r="L35" s="144" t="s">
        <v>79</v>
      </c>
      <c r="M35" s="476"/>
    </row>
    <row r="36" spans="1:13" ht="18" thickBot="1">
      <c r="A36" s="118"/>
      <c r="B36" s="535" t="s">
        <v>3</v>
      </c>
      <c r="C36" s="529"/>
      <c r="D36" s="529"/>
      <c r="E36" s="529"/>
      <c r="F36" s="536"/>
      <c r="G36" s="536"/>
      <c r="H36" s="536"/>
      <c r="I36" s="529"/>
      <c r="J36" s="529"/>
      <c r="K36" s="529"/>
      <c r="L36" s="529"/>
      <c r="M36" s="537"/>
    </row>
    <row r="37" spans="1:13" ht="103.5" customHeight="1" thickBot="1">
      <c r="A37" s="416" t="s">
        <v>97</v>
      </c>
      <c r="B37" s="503" t="s">
        <v>98</v>
      </c>
      <c r="C37" s="607"/>
      <c r="D37" s="224">
        <v>2017</v>
      </c>
      <c r="E37" s="211">
        <f>F37+I37+J37+K37</f>
        <v>155.5623</v>
      </c>
      <c r="F37" s="210"/>
      <c r="G37" s="210">
        <f>H37+I37</f>
        <v>0</v>
      </c>
      <c r="H37" s="212"/>
      <c r="I37" s="213">
        <v>0</v>
      </c>
      <c r="J37" s="213">
        <f>40+68.197-39.45+0.42+51.795+4.6003+30</f>
        <v>155.5623</v>
      </c>
      <c r="K37" s="214"/>
      <c r="L37" s="21" t="s">
        <v>7</v>
      </c>
      <c r="M37" s="540" t="s">
        <v>69</v>
      </c>
    </row>
    <row r="38" spans="1:13" ht="84" customHeight="1" thickBot="1">
      <c r="A38" s="416"/>
      <c r="B38" s="505"/>
      <c r="C38" s="608"/>
      <c r="D38" s="225">
        <v>2018</v>
      </c>
      <c r="E38" s="211">
        <f>F38+I38+J38+K38</f>
        <v>363.78</v>
      </c>
      <c r="F38" s="210"/>
      <c r="G38" s="210">
        <f>H38+I38</f>
        <v>0</v>
      </c>
      <c r="H38" s="215"/>
      <c r="I38" s="216">
        <v>0</v>
      </c>
      <c r="J38" s="216">
        <f>325-70-60+150-5.5-9.25-8.1+41.63</f>
        <v>363.78</v>
      </c>
      <c r="K38" s="217"/>
      <c r="L38" s="21" t="s">
        <v>152</v>
      </c>
      <c r="M38" s="541"/>
    </row>
    <row r="39" spans="1:13" ht="95.25" customHeight="1" thickBot="1">
      <c r="A39" s="416"/>
      <c r="B39" s="505"/>
      <c r="C39" s="608"/>
      <c r="D39" s="225">
        <v>2019</v>
      </c>
      <c r="E39" s="211">
        <f>F39+I39+J39+K39</f>
        <v>0</v>
      </c>
      <c r="F39" s="210"/>
      <c r="G39" s="210">
        <f>H39+I39</f>
        <v>0</v>
      </c>
      <c r="H39" s="218"/>
      <c r="I39" s="219">
        <v>0</v>
      </c>
      <c r="J39" s="219">
        <v>0</v>
      </c>
      <c r="K39" s="220"/>
      <c r="L39" s="22" t="s">
        <v>35</v>
      </c>
      <c r="M39" s="541"/>
    </row>
    <row r="40" spans="1:13" ht="95.25" customHeight="1" thickBot="1">
      <c r="A40" s="416"/>
      <c r="B40" s="505"/>
      <c r="C40" s="608"/>
      <c r="D40" s="225">
        <v>2020</v>
      </c>
      <c r="E40" s="211">
        <f>F40+I40+J40+K40</f>
        <v>0</v>
      </c>
      <c r="F40" s="210"/>
      <c r="G40" s="210">
        <f>H40+I40</f>
        <v>0</v>
      </c>
      <c r="H40" s="221"/>
      <c r="I40" s="219">
        <v>0</v>
      </c>
      <c r="J40" s="219">
        <v>0</v>
      </c>
      <c r="K40" s="220"/>
      <c r="L40" s="22" t="s">
        <v>35</v>
      </c>
      <c r="M40" s="541"/>
    </row>
    <row r="41" spans="1:13" ht="87" customHeight="1" thickBot="1">
      <c r="A41" s="416"/>
      <c r="B41" s="507"/>
      <c r="C41" s="609"/>
      <c r="D41" s="225">
        <v>2021</v>
      </c>
      <c r="E41" s="211">
        <f>F41+I41+J41+K41</f>
        <v>0</v>
      </c>
      <c r="F41" s="210"/>
      <c r="G41" s="210">
        <f>H41+I41</f>
        <v>0</v>
      </c>
      <c r="H41" s="221"/>
      <c r="I41" s="219">
        <v>0</v>
      </c>
      <c r="J41" s="219">
        <v>0</v>
      </c>
      <c r="K41" s="220"/>
      <c r="L41" s="22" t="s">
        <v>35</v>
      </c>
      <c r="M41" s="542"/>
    </row>
    <row r="42" spans="1:13" ht="18" thickBot="1">
      <c r="A42" s="118"/>
      <c r="B42" s="527">
        <v>0</v>
      </c>
      <c r="C42" s="528"/>
      <c r="D42" s="528"/>
      <c r="E42" s="528"/>
      <c r="F42" s="529"/>
      <c r="G42" s="529"/>
      <c r="H42" s="528"/>
      <c r="I42" s="528"/>
      <c r="J42" s="530"/>
      <c r="K42" s="530"/>
      <c r="L42" s="528"/>
      <c r="M42" s="531"/>
    </row>
    <row r="43" spans="1:13" ht="53.25" customHeight="1" thickBot="1">
      <c r="A43" s="416" t="s">
        <v>99</v>
      </c>
      <c r="B43" s="555" t="s">
        <v>100</v>
      </c>
      <c r="C43" s="556"/>
      <c r="D43" s="226">
        <v>2017</v>
      </c>
      <c r="E43" s="341">
        <f>F43+G43+J43+K43</f>
        <v>11</v>
      </c>
      <c r="F43" s="222"/>
      <c r="G43" s="166">
        <f>H43+I43</f>
        <v>0</v>
      </c>
      <c r="H43" s="66"/>
      <c r="I43" s="138">
        <v>0</v>
      </c>
      <c r="J43" s="138">
        <f>11</f>
        <v>11</v>
      </c>
      <c r="K43" s="139"/>
      <c r="L43" s="124" t="s">
        <v>6</v>
      </c>
      <c r="M43" s="540" t="s">
        <v>68</v>
      </c>
    </row>
    <row r="44" spans="1:13" ht="46.5" customHeight="1" thickBot="1">
      <c r="A44" s="416"/>
      <c r="B44" s="557"/>
      <c r="C44" s="558"/>
      <c r="D44" s="226">
        <v>2018</v>
      </c>
      <c r="E44" s="341">
        <f>F44+G44+J44+K44</f>
        <v>0</v>
      </c>
      <c r="F44" s="222"/>
      <c r="G44" s="165">
        <f>H44+I44</f>
        <v>0</v>
      </c>
      <c r="H44" s="64"/>
      <c r="I44" s="145">
        <v>0</v>
      </c>
      <c r="J44" s="145">
        <v>0</v>
      </c>
      <c r="K44" s="139"/>
      <c r="L44" s="136" t="s">
        <v>5</v>
      </c>
      <c r="M44" s="541"/>
    </row>
    <row r="45" spans="1:13" ht="48" customHeight="1" thickBot="1">
      <c r="A45" s="416"/>
      <c r="B45" s="557"/>
      <c r="C45" s="558"/>
      <c r="D45" s="226">
        <v>2019</v>
      </c>
      <c r="E45" s="341">
        <f>F45+G45+J45+K45</f>
        <v>0</v>
      </c>
      <c r="F45" s="222"/>
      <c r="G45" s="165">
        <f>H45+I45</f>
        <v>0</v>
      </c>
      <c r="H45" s="64"/>
      <c r="I45" s="145">
        <v>0</v>
      </c>
      <c r="J45" s="145">
        <v>0</v>
      </c>
      <c r="K45" s="139"/>
      <c r="L45" s="125" t="s">
        <v>5</v>
      </c>
      <c r="M45" s="541"/>
    </row>
    <row r="46" spans="1:13" ht="40.5" customHeight="1" thickBot="1">
      <c r="A46" s="416"/>
      <c r="B46" s="559"/>
      <c r="C46" s="560"/>
      <c r="D46" s="226">
        <v>2020</v>
      </c>
      <c r="E46" s="341">
        <f>F46+G46+J46+K46</f>
        <v>0</v>
      </c>
      <c r="F46" s="222"/>
      <c r="G46" s="165">
        <f>H46+I46</f>
        <v>0</v>
      </c>
      <c r="H46" s="64"/>
      <c r="I46" s="145">
        <v>0</v>
      </c>
      <c r="J46" s="145">
        <v>0</v>
      </c>
      <c r="K46" s="139"/>
      <c r="L46" s="125" t="s">
        <v>5</v>
      </c>
      <c r="M46" s="542"/>
    </row>
    <row r="47" spans="1:13" ht="18" thickBot="1">
      <c r="A47" s="118"/>
      <c r="B47" s="549" t="s">
        <v>3</v>
      </c>
      <c r="C47" s="547"/>
      <c r="D47" s="547"/>
      <c r="E47" s="547"/>
      <c r="F47" s="547"/>
      <c r="G47" s="550"/>
      <c r="H47" s="550"/>
      <c r="I47" s="547"/>
      <c r="J47" s="547"/>
      <c r="K47" s="137"/>
      <c r="L47" s="547"/>
      <c r="M47" s="548"/>
    </row>
    <row r="48" spans="1:13" ht="45.75" customHeight="1" thickBot="1">
      <c r="A48" s="416" t="s">
        <v>101</v>
      </c>
      <c r="B48" s="612" t="s">
        <v>102</v>
      </c>
      <c r="C48" s="613"/>
      <c r="D48" s="227">
        <v>2017</v>
      </c>
      <c r="E48" s="244">
        <f>F48+G48+J48+K48</f>
        <v>34.265</v>
      </c>
      <c r="F48" s="244"/>
      <c r="G48" s="245">
        <f>H48+I48</f>
        <v>0</v>
      </c>
      <c r="H48" s="229"/>
      <c r="I48" s="229">
        <v>0</v>
      </c>
      <c r="J48" s="229">
        <f>100-13.94-51.795</f>
        <v>34.265</v>
      </c>
      <c r="K48" s="230"/>
      <c r="L48" s="154" t="s">
        <v>4</v>
      </c>
      <c r="M48" s="540" t="s">
        <v>67</v>
      </c>
    </row>
    <row r="49" spans="1:13" ht="33" customHeight="1" thickBot="1">
      <c r="A49" s="416"/>
      <c r="B49" s="614"/>
      <c r="C49" s="615"/>
      <c r="D49" s="551">
        <v>2018</v>
      </c>
      <c r="E49" s="563">
        <f>F49+G49+J49+K50</f>
        <v>22.85</v>
      </c>
      <c r="F49" s="563"/>
      <c r="G49" s="561">
        <f>H49+I49</f>
        <v>0</v>
      </c>
      <c r="H49" s="553"/>
      <c r="I49" s="553">
        <v>0</v>
      </c>
      <c r="J49" s="553">
        <f>5.5+9.25+8.1</f>
        <v>22.85</v>
      </c>
      <c r="K49" s="230"/>
      <c r="L49" s="474" t="s">
        <v>4</v>
      </c>
      <c r="M49" s="541"/>
    </row>
    <row r="50" spans="1:13" ht="28.5" customHeight="1" thickBot="1">
      <c r="A50" s="416"/>
      <c r="B50" s="614"/>
      <c r="C50" s="615"/>
      <c r="D50" s="552"/>
      <c r="E50" s="564"/>
      <c r="F50" s="564"/>
      <c r="G50" s="562"/>
      <c r="H50" s="554"/>
      <c r="I50" s="554"/>
      <c r="J50" s="554"/>
      <c r="K50" s="232"/>
      <c r="L50" s="476"/>
      <c r="M50" s="541"/>
    </row>
    <row r="51" spans="1:13" ht="64.5" customHeight="1" thickBot="1">
      <c r="A51" s="416"/>
      <c r="B51" s="614"/>
      <c r="C51" s="615"/>
      <c r="D51" s="225">
        <v>2019</v>
      </c>
      <c r="E51" s="247">
        <f aca="true" t="shared" si="0" ref="E51:E58">F51+G51+J51+K51</f>
        <v>0</v>
      </c>
      <c r="F51" s="248"/>
      <c r="G51" s="248">
        <f aca="true" t="shared" si="1" ref="G51:G58">H51+I51</f>
        <v>0</v>
      </c>
      <c r="H51" s="235"/>
      <c r="I51" s="233">
        <v>0</v>
      </c>
      <c r="J51" s="233">
        <v>0</v>
      </c>
      <c r="K51" s="236"/>
      <c r="L51" s="55" t="s">
        <v>4</v>
      </c>
      <c r="M51" s="542"/>
    </row>
    <row r="52" spans="1:13" ht="64.5" customHeight="1" thickBot="1">
      <c r="A52" s="416"/>
      <c r="B52" s="614"/>
      <c r="C52" s="615"/>
      <c r="D52" s="237">
        <v>2020</v>
      </c>
      <c r="E52" s="247">
        <f>F52+G52+J52+K52</f>
        <v>0</v>
      </c>
      <c r="F52" s="248"/>
      <c r="G52" s="360">
        <f>H52+I52</f>
        <v>0</v>
      </c>
      <c r="H52" s="235"/>
      <c r="I52" s="238">
        <v>0</v>
      </c>
      <c r="J52" s="233">
        <v>0</v>
      </c>
      <c r="K52" s="361"/>
      <c r="L52" s="90" t="s">
        <v>4</v>
      </c>
      <c r="M52" s="349"/>
    </row>
    <row r="53" spans="1:13" ht="75.75" customHeight="1" thickBot="1">
      <c r="A53" s="416"/>
      <c r="B53" s="616"/>
      <c r="C53" s="617"/>
      <c r="D53" s="237">
        <v>2021</v>
      </c>
      <c r="E53" s="247">
        <f t="shared" si="0"/>
        <v>0</v>
      </c>
      <c r="F53" s="248"/>
      <c r="G53" s="249">
        <f t="shared" si="1"/>
        <v>0</v>
      </c>
      <c r="H53" s="235"/>
      <c r="I53" s="238">
        <v>0</v>
      </c>
      <c r="J53" s="233">
        <v>0</v>
      </c>
      <c r="K53" s="239"/>
      <c r="L53" s="90" t="s">
        <v>4</v>
      </c>
      <c r="M53" s="106"/>
    </row>
    <row r="54" spans="1:13" ht="50.25" customHeight="1" thickBot="1">
      <c r="A54" s="416" t="s">
        <v>103</v>
      </c>
      <c r="B54" s="628" t="s">
        <v>104</v>
      </c>
      <c r="C54" s="629"/>
      <c r="D54" s="237">
        <v>2017</v>
      </c>
      <c r="E54" s="247">
        <f t="shared" si="0"/>
        <v>65.3997</v>
      </c>
      <c r="F54" s="248"/>
      <c r="G54" s="248">
        <f t="shared" si="1"/>
        <v>0</v>
      </c>
      <c r="H54" s="240"/>
      <c r="I54" s="233">
        <v>0</v>
      </c>
      <c r="J54" s="238">
        <f>70-4.6003</f>
        <v>65.3997</v>
      </c>
      <c r="K54" s="241"/>
      <c r="L54" s="8" t="s">
        <v>6</v>
      </c>
      <c r="M54" s="540" t="s">
        <v>66</v>
      </c>
    </row>
    <row r="55" spans="1:13" ht="46.5" customHeight="1" thickBot="1">
      <c r="A55" s="416"/>
      <c r="B55" s="630"/>
      <c r="C55" s="631"/>
      <c r="D55" s="237">
        <v>2018</v>
      </c>
      <c r="E55" s="247">
        <f t="shared" si="0"/>
        <v>60</v>
      </c>
      <c r="F55" s="248"/>
      <c r="G55" s="246">
        <f t="shared" si="1"/>
        <v>0</v>
      </c>
      <c r="H55" s="212"/>
      <c r="I55" s="233">
        <v>0</v>
      </c>
      <c r="J55" s="242">
        <v>60</v>
      </c>
      <c r="K55" s="241"/>
      <c r="L55" s="8" t="s">
        <v>6</v>
      </c>
      <c r="M55" s="541"/>
    </row>
    <row r="56" spans="1:13" ht="40.5" customHeight="1" thickBot="1">
      <c r="A56" s="416"/>
      <c r="B56" s="630"/>
      <c r="C56" s="631"/>
      <c r="D56" s="237">
        <v>2019</v>
      </c>
      <c r="E56" s="247">
        <f t="shared" si="0"/>
        <v>0</v>
      </c>
      <c r="F56" s="248"/>
      <c r="G56" s="250">
        <f t="shared" si="1"/>
        <v>0</v>
      </c>
      <c r="H56" s="212"/>
      <c r="I56" s="233">
        <v>0</v>
      </c>
      <c r="J56" s="238">
        <v>0</v>
      </c>
      <c r="K56" s="241"/>
      <c r="L56" s="8" t="s">
        <v>6</v>
      </c>
      <c r="M56" s="541"/>
    </row>
    <row r="57" spans="1:13" ht="40.5" customHeight="1" thickBot="1">
      <c r="A57" s="416"/>
      <c r="B57" s="630"/>
      <c r="C57" s="631"/>
      <c r="D57" s="237">
        <v>2020</v>
      </c>
      <c r="E57" s="247">
        <f>F57+G57+J57+K57</f>
        <v>0</v>
      </c>
      <c r="F57" s="248"/>
      <c r="G57" s="250">
        <f>H57+I57</f>
        <v>0</v>
      </c>
      <c r="H57" s="212"/>
      <c r="I57" s="233">
        <v>0</v>
      </c>
      <c r="J57" s="238">
        <v>0</v>
      </c>
      <c r="K57" s="241"/>
      <c r="L57" s="8" t="s">
        <v>6</v>
      </c>
      <c r="M57" s="541"/>
    </row>
    <row r="58" spans="1:13" ht="45" customHeight="1" thickBot="1">
      <c r="A58" s="416"/>
      <c r="B58" s="632"/>
      <c r="C58" s="633"/>
      <c r="D58" s="237">
        <v>2021</v>
      </c>
      <c r="E58" s="247">
        <f t="shared" si="0"/>
        <v>0</v>
      </c>
      <c r="F58" s="248"/>
      <c r="G58" s="250">
        <f t="shared" si="1"/>
        <v>0</v>
      </c>
      <c r="H58" s="212"/>
      <c r="I58" s="233">
        <v>0</v>
      </c>
      <c r="J58" s="238">
        <v>0</v>
      </c>
      <c r="K58" s="241"/>
      <c r="L58" s="8" t="s">
        <v>6</v>
      </c>
      <c r="M58" s="542"/>
    </row>
    <row r="59" spans="1:13" ht="18" thickBot="1">
      <c r="A59" s="118"/>
      <c r="B59" s="121" t="s">
        <v>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20"/>
    </row>
    <row r="60" spans="1:13" ht="38.25" customHeight="1" thickBot="1">
      <c r="A60" s="416" t="s">
        <v>105</v>
      </c>
      <c r="B60" s="443" t="s">
        <v>106</v>
      </c>
      <c r="C60" s="444"/>
      <c r="D60" s="462">
        <v>2017</v>
      </c>
      <c r="E60" s="525">
        <f>F60+G60+J60+K60</f>
        <v>27.52</v>
      </c>
      <c r="F60" s="571"/>
      <c r="G60" s="228">
        <f>H60+I60</f>
        <v>0</v>
      </c>
      <c r="H60" s="627"/>
      <c r="I60" s="553">
        <v>0</v>
      </c>
      <c r="J60" s="553">
        <v>27.52</v>
      </c>
      <c r="K60" s="252"/>
      <c r="L60" s="545" t="s">
        <v>5</v>
      </c>
      <c r="M60" s="540" t="s">
        <v>65</v>
      </c>
    </row>
    <row r="61" spans="1:13" ht="0.75" customHeight="1" thickBot="1">
      <c r="A61" s="416"/>
      <c r="B61" s="445"/>
      <c r="C61" s="446"/>
      <c r="D61" s="569"/>
      <c r="E61" s="570"/>
      <c r="F61" s="554"/>
      <c r="G61" s="268"/>
      <c r="H61" s="570"/>
      <c r="I61" s="554"/>
      <c r="J61" s="554"/>
      <c r="K61" s="253"/>
      <c r="L61" s="546"/>
      <c r="M61" s="541"/>
    </row>
    <row r="62" spans="1:13" ht="42.75" customHeight="1" thickBot="1">
      <c r="A62" s="416"/>
      <c r="B62" s="445"/>
      <c r="C62" s="446"/>
      <c r="D62" s="231">
        <v>2018</v>
      </c>
      <c r="E62" s="210">
        <f aca="true" t="shared" si="2" ref="E62:E69">F62+G62+J62+K62</f>
        <v>28.369999999999997</v>
      </c>
      <c r="F62" s="256"/>
      <c r="G62" s="256">
        <f aca="true" t="shared" si="3" ref="G62:G69">H62+I62</f>
        <v>0</v>
      </c>
      <c r="H62" s="254"/>
      <c r="I62" s="255">
        <v>0</v>
      </c>
      <c r="J62" s="256">
        <f>70-41.63</f>
        <v>28.369999999999997</v>
      </c>
      <c r="K62" s="214"/>
      <c r="L62" s="30" t="s">
        <v>5</v>
      </c>
      <c r="M62" s="541"/>
    </row>
    <row r="63" spans="1:13" ht="39" customHeight="1" thickBot="1">
      <c r="A63" s="416"/>
      <c r="B63" s="445"/>
      <c r="C63" s="446"/>
      <c r="D63" s="231">
        <v>2019</v>
      </c>
      <c r="E63" s="210">
        <f t="shared" si="2"/>
        <v>0</v>
      </c>
      <c r="F63" s="256"/>
      <c r="G63" s="256">
        <f t="shared" si="3"/>
        <v>0</v>
      </c>
      <c r="H63" s="254"/>
      <c r="I63" s="255">
        <v>0</v>
      </c>
      <c r="J63" s="257">
        <v>0</v>
      </c>
      <c r="K63" s="214"/>
      <c r="L63" s="30" t="s">
        <v>5</v>
      </c>
      <c r="M63" s="541"/>
    </row>
    <row r="64" spans="1:13" ht="48" customHeight="1" thickBot="1">
      <c r="A64" s="416"/>
      <c r="B64" s="447"/>
      <c r="C64" s="448"/>
      <c r="D64" s="231">
        <v>2020</v>
      </c>
      <c r="E64" s="210">
        <f t="shared" si="2"/>
        <v>0</v>
      </c>
      <c r="F64" s="256"/>
      <c r="G64" s="269">
        <f t="shared" si="3"/>
        <v>0</v>
      </c>
      <c r="H64" s="254"/>
      <c r="I64" s="255">
        <v>0</v>
      </c>
      <c r="J64" s="257">
        <v>0</v>
      </c>
      <c r="K64" s="214"/>
      <c r="L64" s="30" t="s">
        <v>5</v>
      </c>
      <c r="M64" s="542"/>
    </row>
    <row r="65" spans="1:13" ht="39" customHeight="1" thickBot="1">
      <c r="A65" s="416" t="s">
        <v>107</v>
      </c>
      <c r="B65" s="572" t="s">
        <v>108</v>
      </c>
      <c r="C65" s="573"/>
      <c r="D65" s="258">
        <v>2017</v>
      </c>
      <c r="E65" s="210">
        <f t="shared" si="2"/>
        <v>50</v>
      </c>
      <c r="F65" s="256"/>
      <c r="G65" s="234">
        <f t="shared" si="3"/>
        <v>50</v>
      </c>
      <c r="H65" s="259"/>
      <c r="I65" s="162">
        <v>50</v>
      </c>
      <c r="J65" s="260">
        <v>0</v>
      </c>
      <c r="K65" s="261"/>
      <c r="L65" s="18" t="s">
        <v>43</v>
      </c>
      <c r="M65" s="540" t="s">
        <v>64</v>
      </c>
    </row>
    <row r="66" spans="1:13" ht="41.25" customHeight="1" thickBot="1">
      <c r="A66" s="416"/>
      <c r="B66" s="574"/>
      <c r="C66" s="575"/>
      <c r="D66" s="225">
        <v>2018</v>
      </c>
      <c r="E66" s="210">
        <f t="shared" si="2"/>
        <v>0</v>
      </c>
      <c r="F66" s="256"/>
      <c r="G66" s="234">
        <f t="shared" si="3"/>
        <v>0</v>
      </c>
      <c r="H66" s="262"/>
      <c r="I66" s="262">
        <v>0</v>
      </c>
      <c r="J66" s="263">
        <v>0</v>
      </c>
      <c r="K66" s="264"/>
      <c r="L66" s="136"/>
      <c r="M66" s="541"/>
    </row>
    <row r="67" spans="1:13" ht="41.25" customHeight="1" thickBot="1">
      <c r="A67" s="416"/>
      <c r="B67" s="574"/>
      <c r="C67" s="575"/>
      <c r="D67" s="225">
        <v>2019</v>
      </c>
      <c r="E67" s="210">
        <f t="shared" si="2"/>
        <v>0</v>
      </c>
      <c r="F67" s="256"/>
      <c r="G67" s="265">
        <f t="shared" si="3"/>
        <v>0</v>
      </c>
      <c r="H67" s="229"/>
      <c r="I67" s="229">
        <v>0</v>
      </c>
      <c r="J67" s="266">
        <v>0</v>
      </c>
      <c r="K67" s="261"/>
      <c r="L67" s="136"/>
      <c r="M67" s="541"/>
    </row>
    <row r="68" spans="1:13" ht="41.25" customHeight="1" thickBot="1">
      <c r="A68" s="416"/>
      <c r="B68" s="574"/>
      <c r="C68" s="575"/>
      <c r="D68" s="225">
        <v>2020</v>
      </c>
      <c r="E68" s="210">
        <f>F68+G68+J68+K68</f>
        <v>0</v>
      </c>
      <c r="F68" s="256"/>
      <c r="G68" s="352">
        <f>H68+I68</f>
        <v>0</v>
      </c>
      <c r="H68" s="351"/>
      <c r="I68" s="351">
        <v>0</v>
      </c>
      <c r="J68" s="263">
        <v>0</v>
      </c>
      <c r="K68" s="267"/>
      <c r="L68" s="136"/>
      <c r="M68" s="541"/>
    </row>
    <row r="69" spans="1:13" ht="39" customHeight="1" thickBot="1">
      <c r="A69" s="416"/>
      <c r="B69" s="576"/>
      <c r="C69" s="577"/>
      <c r="D69" s="225">
        <v>2021</v>
      </c>
      <c r="E69" s="210">
        <f t="shared" si="2"/>
        <v>0</v>
      </c>
      <c r="F69" s="256"/>
      <c r="G69" s="228">
        <f t="shared" si="3"/>
        <v>0</v>
      </c>
      <c r="H69" s="229"/>
      <c r="I69" s="229">
        <v>0</v>
      </c>
      <c r="J69" s="263">
        <v>0</v>
      </c>
      <c r="K69" s="267"/>
      <c r="L69" s="136"/>
      <c r="M69" s="542"/>
    </row>
    <row r="70" spans="1:13" ht="20.25" customHeight="1" thickBot="1">
      <c r="A70" s="118"/>
      <c r="B70" s="122" t="s">
        <v>3</v>
      </c>
      <c r="C70" s="19"/>
      <c r="D70" s="10"/>
      <c r="E70" s="18"/>
      <c r="F70" s="9"/>
      <c r="G70" s="9"/>
      <c r="H70" s="9"/>
      <c r="I70" s="10"/>
      <c r="J70" s="142"/>
      <c r="K70" s="141"/>
      <c r="L70" s="10"/>
      <c r="M70" s="11"/>
    </row>
    <row r="71" spans="1:13" ht="41.25" customHeight="1" thickBot="1">
      <c r="A71" s="416" t="s">
        <v>109</v>
      </c>
      <c r="B71" s="443" t="s">
        <v>110</v>
      </c>
      <c r="C71" s="444"/>
      <c r="D71" s="453">
        <v>2017</v>
      </c>
      <c r="E71" s="565">
        <f>F71+G71+J71+K71</f>
        <v>627.047</v>
      </c>
      <c r="F71" s="243"/>
      <c r="G71" s="270">
        <f aca="true" t="shared" si="4" ref="G71:G78">H71+I71</f>
        <v>0</v>
      </c>
      <c r="H71" s="271">
        <f>H72+H73+H74+H75+H76+H77</f>
        <v>0</v>
      </c>
      <c r="I71" s="272">
        <f>I72+I73+I74+I75+I76+I77</f>
        <v>0</v>
      </c>
      <c r="J71" s="272">
        <f>J72+J73+J74+J75+J76+J77</f>
        <v>627.047</v>
      </c>
      <c r="K71" s="272">
        <f>K72+K73+K74+K75+K76+K77</f>
        <v>0</v>
      </c>
      <c r="L71" s="6"/>
      <c r="M71" s="540" t="s">
        <v>86</v>
      </c>
    </row>
    <row r="72" spans="1:13" ht="39.75" customHeight="1" thickBot="1">
      <c r="A72" s="416"/>
      <c r="B72" s="445"/>
      <c r="C72" s="446"/>
      <c r="D72" s="454"/>
      <c r="E72" s="566"/>
      <c r="F72" s="243"/>
      <c r="G72" s="270">
        <f t="shared" si="4"/>
        <v>0</v>
      </c>
      <c r="H72" s="273"/>
      <c r="I72" s="274"/>
      <c r="J72" s="274">
        <f>50+13.94</f>
        <v>63.94</v>
      </c>
      <c r="K72" s="241"/>
      <c r="L72" s="8" t="s">
        <v>11</v>
      </c>
      <c r="M72" s="541"/>
    </row>
    <row r="73" spans="1:13" ht="39.75" customHeight="1" thickBot="1">
      <c r="A73" s="416"/>
      <c r="B73" s="445"/>
      <c r="C73" s="446"/>
      <c r="D73" s="454"/>
      <c r="E73" s="566"/>
      <c r="F73" s="243"/>
      <c r="G73" s="270">
        <f t="shared" si="4"/>
        <v>0</v>
      </c>
      <c r="H73" s="240"/>
      <c r="I73" s="275"/>
      <c r="J73" s="275">
        <v>113.23</v>
      </c>
      <c r="K73" s="241"/>
      <c r="L73" s="8" t="s">
        <v>17</v>
      </c>
      <c r="M73" s="541"/>
    </row>
    <row r="74" spans="1:13" ht="39.75" customHeight="1" thickBot="1">
      <c r="A74" s="416"/>
      <c r="B74" s="445"/>
      <c r="C74" s="446"/>
      <c r="D74" s="454"/>
      <c r="E74" s="566"/>
      <c r="F74" s="243"/>
      <c r="G74" s="270">
        <f t="shared" si="4"/>
        <v>0</v>
      </c>
      <c r="H74" s="240"/>
      <c r="I74" s="276"/>
      <c r="J74" s="276">
        <v>205.427</v>
      </c>
      <c r="K74" s="241"/>
      <c r="L74" s="8" t="s">
        <v>26</v>
      </c>
      <c r="M74" s="541"/>
    </row>
    <row r="75" spans="1:13" ht="39.75" customHeight="1" thickBot="1">
      <c r="A75" s="416"/>
      <c r="B75" s="445"/>
      <c r="C75" s="446"/>
      <c r="D75" s="454"/>
      <c r="E75" s="566"/>
      <c r="F75" s="243"/>
      <c r="G75" s="270">
        <f t="shared" si="4"/>
        <v>0</v>
      </c>
      <c r="H75" s="240"/>
      <c r="I75" s="275"/>
      <c r="J75" s="275">
        <v>13.23</v>
      </c>
      <c r="K75" s="241"/>
      <c r="L75" s="8" t="s">
        <v>14</v>
      </c>
      <c r="M75" s="541"/>
    </row>
    <row r="76" spans="1:13" ht="39.75" customHeight="1" thickBot="1">
      <c r="A76" s="416"/>
      <c r="B76" s="445"/>
      <c r="C76" s="446"/>
      <c r="D76" s="454"/>
      <c r="E76" s="566"/>
      <c r="F76" s="243"/>
      <c r="G76" s="270">
        <f t="shared" si="4"/>
        <v>0</v>
      </c>
      <c r="H76" s="240"/>
      <c r="I76" s="275"/>
      <c r="J76" s="275">
        <v>161.09</v>
      </c>
      <c r="K76" s="241"/>
      <c r="L76" s="8" t="s">
        <v>27</v>
      </c>
      <c r="M76" s="541"/>
    </row>
    <row r="77" spans="1:13" ht="39.75" customHeight="1" thickBot="1">
      <c r="A77" s="416"/>
      <c r="B77" s="445"/>
      <c r="C77" s="446"/>
      <c r="D77" s="455"/>
      <c r="E77" s="567"/>
      <c r="F77" s="243"/>
      <c r="G77" s="270">
        <f t="shared" si="4"/>
        <v>0</v>
      </c>
      <c r="H77" s="240"/>
      <c r="I77" s="275"/>
      <c r="J77" s="275">
        <f>15.18+18+36.45+0.5</f>
        <v>70.13</v>
      </c>
      <c r="K77" s="241"/>
      <c r="L77" s="8" t="s">
        <v>28</v>
      </c>
      <c r="M77" s="541"/>
    </row>
    <row r="78" spans="1:13" ht="33" customHeight="1" thickBot="1">
      <c r="A78" s="416"/>
      <c r="B78" s="445"/>
      <c r="C78" s="446"/>
      <c r="D78" s="453">
        <v>2018</v>
      </c>
      <c r="E78" s="578">
        <f>F78+G78+J78+K78</f>
        <v>3096.241</v>
      </c>
      <c r="F78" s="149"/>
      <c r="G78" s="149">
        <f t="shared" si="4"/>
        <v>0</v>
      </c>
      <c r="H78" s="155">
        <f>H79+H80+H81+H82+H83+H84+H85</f>
        <v>0</v>
      </c>
      <c r="I78" s="155">
        <f>I79+I80+I81+I82+I83+I84+I85</f>
        <v>0</v>
      </c>
      <c r="J78" s="155">
        <f>J79+J80+J81+J82+J83+J84+J85</f>
        <v>3096.241</v>
      </c>
      <c r="K78" s="155">
        <f>K79+K80+K81+K82+K83+K84+K85</f>
        <v>0</v>
      </c>
      <c r="L78" s="8"/>
      <c r="M78" s="541"/>
    </row>
    <row r="79" spans="1:13" ht="37.5" customHeight="1" thickBot="1">
      <c r="A79" s="416"/>
      <c r="B79" s="445"/>
      <c r="C79" s="446"/>
      <c r="D79" s="454"/>
      <c r="E79" s="568"/>
      <c r="F79" s="149"/>
      <c r="G79" s="277">
        <f aca="true" t="shared" si="5" ref="G79:G88">H79+I79</f>
        <v>0</v>
      </c>
      <c r="H79" s="53"/>
      <c r="I79" s="56"/>
      <c r="J79" s="56">
        <v>0</v>
      </c>
      <c r="K79" s="23"/>
      <c r="L79" s="8" t="s">
        <v>11</v>
      </c>
      <c r="M79" s="541"/>
    </row>
    <row r="80" spans="1:13" ht="30" customHeight="1" thickBot="1">
      <c r="A80" s="416"/>
      <c r="B80" s="445"/>
      <c r="C80" s="446"/>
      <c r="D80" s="454"/>
      <c r="E80" s="568"/>
      <c r="F80" s="149"/>
      <c r="G80" s="278">
        <f t="shared" si="5"/>
        <v>0</v>
      </c>
      <c r="H80" s="50"/>
      <c r="I80" s="88"/>
      <c r="J80" s="88">
        <f>12.64+1186-181.18</f>
        <v>1017.46</v>
      </c>
      <c r="K80" s="23"/>
      <c r="L80" s="8" t="s">
        <v>17</v>
      </c>
      <c r="M80" s="541"/>
    </row>
    <row r="81" spans="1:13" ht="30.75" customHeight="1" thickBot="1">
      <c r="A81" s="416"/>
      <c r="B81" s="445"/>
      <c r="C81" s="446"/>
      <c r="D81" s="454"/>
      <c r="E81" s="568"/>
      <c r="F81" s="149"/>
      <c r="G81" s="278">
        <f t="shared" si="5"/>
        <v>0</v>
      </c>
      <c r="H81" s="50"/>
      <c r="I81" s="88"/>
      <c r="J81" s="88">
        <f>12.64+445+788.79</f>
        <v>1246.4299999999998</v>
      </c>
      <c r="K81" s="23"/>
      <c r="L81" s="8" t="s">
        <v>26</v>
      </c>
      <c r="M81" s="541"/>
    </row>
    <row r="82" spans="1:13" ht="32.25" customHeight="1" thickBot="1">
      <c r="A82" s="416"/>
      <c r="B82" s="445"/>
      <c r="C82" s="446"/>
      <c r="D82" s="454"/>
      <c r="E82" s="568"/>
      <c r="F82" s="149"/>
      <c r="G82" s="278">
        <f t="shared" si="5"/>
        <v>0</v>
      </c>
      <c r="H82" s="50"/>
      <c r="I82" s="88"/>
      <c r="J82" s="88">
        <f>12.64+437.6-55.429</f>
        <v>394.81100000000004</v>
      </c>
      <c r="K82" s="23"/>
      <c r="L82" s="8" t="s">
        <v>14</v>
      </c>
      <c r="M82" s="541"/>
    </row>
    <row r="83" spans="1:13" ht="32.25" customHeight="1" thickBot="1">
      <c r="A83" s="416"/>
      <c r="B83" s="445"/>
      <c r="C83" s="446"/>
      <c r="D83" s="454"/>
      <c r="E83" s="568"/>
      <c r="F83" s="149"/>
      <c r="G83" s="278">
        <f t="shared" si="5"/>
        <v>0</v>
      </c>
      <c r="H83" s="50"/>
      <c r="I83" s="88"/>
      <c r="J83" s="88">
        <f>30.36+107+120</f>
        <v>257.36</v>
      </c>
      <c r="K83" s="23"/>
      <c r="L83" s="8" t="s">
        <v>27</v>
      </c>
      <c r="M83" s="541"/>
    </row>
    <row r="84" spans="1:13" ht="32.25" customHeight="1" thickBot="1">
      <c r="A84" s="416"/>
      <c r="B84" s="445"/>
      <c r="C84" s="446"/>
      <c r="D84" s="454"/>
      <c r="E84" s="568"/>
      <c r="F84" s="149"/>
      <c r="G84" s="278">
        <f t="shared" si="5"/>
        <v>0</v>
      </c>
      <c r="H84" s="50"/>
      <c r="I84" s="88"/>
      <c r="J84" s="88">
        <f>15.18+165</f>
        <v>180.18</v>
      </c>
      <c r="K84" s="23"/>
      <c r="L84" s="8" t="s">
        <v>28</v>
      </c>
      <c r="M84" s="541"/>
    </row>
    <row r="85" spans="1:13" ht="30" customHeight="1" thickBot="1">
      <c r="A85" s="416"/>
      <c r="B85" s="445"/>
      <c r="C85" s="446"/>
      <c r="D85" s="454"/>
      <c r="E85" s="568"/>
      <c r="F85" s="149"/>
      <c r="G85" s="278">
        <f t="shared" si="5"/>
        <v>0</v>
      </c>
      <c r="H85" s="50"/>
      <c r="I85" s="88"/>
      <c r="J85" s="88">
        <v>0</v>
      </c>
      <c r="K85" s="23"/>
      <c r="L85" s="8" t="s">
        <v>59</v>
      </c>
      <c r="M85" s="541"/>
    </row>
    <row r="86" spans="1:13" ht="30" customHeight="1" thickBot="1">
      <c r="A86" s="416"/>
      <c r="B86" s="445"/>
      <c r="C86" s="446"/>
      <c r="D86" s="453">
        <v>2019</v>
      </c>
      <c r="E86" s="565">
        <f>F86+G86+J86+K86</f>
        <v>83.46000000000001</v>
      </c>
      <c r="F86" s="155"/>
      <c r="G86" s="155">
        <f>H86+I86</f>
        <v>0</v>
      </c>
      <c r="H86" s="155">
        <f>H87+H88+H89+H90+H91+H92</f>
        <v>0</v>
      </c>
      <c r="I86" s="155">
        <f>I87+I88+I89+I90+I91+I92</f>
        <v>0</v>
      </c>
      <c r="J86" s="155">
        <f>J87+J88+J89+J90+J91+J92</f>
        <v>83.46000000000001</v>
      </c>
      <c r="K86" s="155">
        <f>K87+K88+K89+K90+K91+K92</f>
        <v>0</v>
      </c>
      <c r="L86" s="8"/>
      <c r="M86" s="541"/>
    </row>
    <row r="87" spans="1:13" ht="28.5" customHeight="1" thickBot="1">
      <c r="A87" s="416"/>
      <c r="B87" s="445"/>
      <c r="C87" s="446"/>
      <c r="D87" s="454"/>
      <c r="E87" s="568"/>
      <c r="F87" s="205"/>
      <c r="G87" s="278">
        <f t="shared" si="5"/>
        <v>0</v>
      </c>
      <c r="H87" s="50"/>
      <c r="I87" s="56"/>
      <c r="J87" s="56">
        <v>0</v>
      </c>
      <c r="K87" s="23"/>
      <c r="L87" s="8" t="s">
        <v>11</v>
      </c>
      <c r="M87" s="541"/>
    </row>
    <row r="88" spans="1:13" ht="30" customHeight="1" thickBot="1">
      <c r="A88" s="416"/>
      <c r="B88" s="445"/>
      <c r="C88" s="446"/>
      <c r="D88" s="454"/>
      <c r="E88" s="568"/>
      <c r="F88" s="205"/>
      <c r="G88" s="278">
        <f t="shared" si="5"/>
        <v>0</v>
      </c>
      <c r="H88" s="50"/>
      <c r="I88" s="89"/>
      <c r="J88" s="89">
        <v>12.64</v>
      </c>
      <c r="K88" s="23"/>
      <c r="L88" s="8" t="s">
        <v>17</v>
      </c>
      <c r="M88" s="541"/>
    </row>
    <row r="89" spans="1:13" ht="30" customHeight="1" thickBot="1">
      <c r="A89" s="416"/>
      <c r="B89" s="445"/>
      <c r="C89" s="446"/>
      <c r="D89" s="454"/>
      <c r="E89" s="568"/>
      <c r="F89" s="205"/>
      <c r="G89" s="278">
        <f aca="true" t="shared" si="6" ref="G89:G124">H89+I89</f>
        <v>0</v>
      </c>
      <c r="H89" s="50"/>
      <c r="I89" s="89"/>
      <c r="J89" s="89">
        <v>12.64</v>
      </c>
      <c r="K89" s="23"/>
      <c r="L89" s="8" t="s">
        <v>26</v>
      </c>
      <c r="M89" s="541"/>
    </row>
    <row r="90" spans="1:13" ht="30" customHeight="1" thickBot="1">
      <c r="A90" s="416"/>
      <c r="B90" s="445"/>
      <c r="C90" s="446"/>
      <c r="D90" s="454"/>
      <c r="E90" s="568"/>
      <c r="F90" s="205"/>
      <c r="G90" s="278">
        <f t="shared" si="6"/>
        <v>0</v>
      </c>
      <c r="H90" s="50"/>
      <c r="I90" s="89"/>
      <c r="J90" s="89">
        <v>12.64</v>
      </c>
      <c r="K90" s="23"/>
      <c r="L90" s="8" t="s">
        <v>14</v>
      </c>
      <c r="M90" s="541"/>
    </row>
    <row r="91" spans="1:13" ht="30" customHeight="1" thickBot="1">
      <c r="A91" s="416"/>
      <c r="B91" s="445"/>
      <c r="C91" s="446"/>
      <c r="D91" s="454"/>
      <c r="E91" s="568"/>
      <c r="F91" s="205"/>
      <c r="G91" s="278">
        <f t="shared" si="6"/>
        <v>0</v>
      </c>
      <c r="H91" s="50"/>
      <c r="I91" s="89"/>
      <c r="J91" s="89">
        <v>30.36</v>
      </c>
      <c r="K91" s="23"/>
      <c r="L91" s="8" t="s">
        <v>27</v>
      </c>
      <c r="M91" s="541"/>
    </row>
    <row r="92" spans="1:13" ht="30" customHeight="1" thickBot="1">
      <c r="A92" s="416"/>
      <c r="B92" s="445"/>
      <c r="C92" s="446"/>
      <c r="D92" s="455"/>
      <c r="E92" s="522"/>
      <c r="F92" s="205"/>
      <c r="G92" s="278">
        <f t="shared" si="6"/>
        <v>0</v>
      </c>
      <c r="H92" s="50"/>
      <c r="I92" s="89"/>
      <c r="J92" s="89">
        <v>15.18</v>
      </c>
      <c r="K92" s="23"/>
      <c r="L92" s="8" t="s">
        <v>28</v>
      </c>
      <c r="M92" s="541"/>
    </row>
    <row r="93" spans="1:13" ht="30" customHeight="1" thickBot="1">
      <c r="A93" s="416"/>
      <c r="B93" s="445"/>
      <c r="C93" s="446"/>
      <c r="D93" s="453">
        <v>2020</v>
      </c>
      <c r="E93" s="565">
        <f>F93+G93+J93+K93</f>
        <v>83.46000000000001</v>
      </c>
      <c r="F93" s="243"/>
      <c r="G93" s="243">
        <f>H93+I93</f>
        <v>0</v>
      </c>
      <c r="H93" s="243">
        <f>H94+H95+H96+H97+H98+H99</f>
        <v>0</v>
      </c>
      <c r="I93" s="243">
        <f>I94+I95+I96+I97+I98+I99</f>
        <v>0</v>
      </c>
      <c r="J93" s="243">
        <f>J94+J95+J96+J97+J98+J99</f>
        <v>83.46000000000001</v>
      </c>
      <c r="K93" s="243">
        <f>K94+K95+K96+K97+K98+K99</f>
        <v>0</v>
      </c>
      <c r="L93" s="8"/>
      <c r="M93" s="541"/>
    </row>
    <row r="94" spans="1:13" ht="30" customHeight="1" thickBot="1">
      <c r="A94" s="416"/>
      <c r="B94" s="445"/>
      <c r="C94" s="446"/>
      <c r="D94" s="454"/>
      <c r="E94" s="566"/>
      <c r="F94" s="243"/>
      <c r="G94" s="279">
        <f aca="true" t="shared" si="7" ref="G94:G99">H94+I94</f>
        <v>0</v>
      </c>
      <c r="H94" s="350"/>
      <c r="I94" s="274"/>
      <c r="J94" s="274">
        <v>0</v>
      </c>
      <c r="K94" s="252"/>
      <c r="L94" s="8" t="s">
        <v>11</v>
      </c>
      <c r="M94" s="541"/>
    </row>
    <row r="95" spans="1:13" ht="30" customHeight="1" thickBot="1">
      <c r="A95" s="416"/>
      <c r="B95" s="445"/>
      <c r="C95" s="446"/>
      <c r="D95" s="454"/>
      <c r="E95" s="566"/>
      <c r="F95" s="243"/>
      <c r="G95" s="279">
        <f t="shared" si="7"/>
        <v>0</v>
      </c>
      <c r="H95" s="350"/>
      <c r="I95" s="280"/>
      <c r="J95" s="280">
        <f>12.64</f>
        <v>12.64</v>
      </c>
      <c r="K95" s="252"/>
      <c r="L95" s="8" t="s">
        <v>17</v>
      </c>
      <c r="M95" s="541"/>
    </row>
    <row r="96" spans="1:13" ht="30" customHeight="1" thickBot="1">
      <c r="A96" s="416"/>
      <c r="B96" s="445"/>
      <c r="C96" s="446"/>
      <c r="D96" s="454"/>
      <c r="E96" s="566"/>
      <c r="F96" s="243"/>
      <c r="G96" s="279">
        <f t="shared" si="7"/>
        <v>0</v>
      </c>
      <c r="H96" s="350"/>
      <c r="I96" s="280"/>
      <c r="J96" s="280">
        <v>12.64</v>
      </c>
      <c r="K96" s="252"/>
      <c r="L96" s="8" t="s">
        <v>26</v>
      </c>
      <c r="M96" s="541"/>
    </row>
    <row r="97" spans="1:13" ht="30" customHeight="1" thickBot="1">
      <c r="A97" s="416"/>
      <c r="B97" s="445"/>
      <c r="C97" s="446"/>
      <c r="D97" s="454"/>
      <c r="E97" s="566"/>
      <c r="F97" s="243"/>
      <c r="G97" s="279">
        <f t="shared" si="7"/>
        <v>0</v>
      </c>
      <c r="H97" s="350"/>
      <c r="I97" s="280"/>
      <c r="J97" s="280">
        <v>12.64</v>
      </c>
      <c r="K97" s="252"/>
      <c r="L97" s="8" t="s">
        <v>14</v>
      </c>
      <c r="M97" s="541"/>
    </row>
    <row r="98" spans="1:13" ht="30" customHeight="1" thickBot="1">
      <c r="A98" s="416"/>
      <c r="B98" s="445"/>
      <c r="C98" s="446"/>
      <c r="D98" s="454"/>
      <c r="E98" s="566"/>
      <c r="F98" s="243"/>
      <c r="G98" s="279">
        <f t="shared" si="7"/>
        <v>0</v>
      </c>
      <c r="H98" s="350"/>
      <c r="I98" s="280"/>
      <c r="J98" s="280">
        <v>30.36</v>
      </c>
      <c r="K98" s="252"/>
      <c r="L98" s="8" t="s">
        <v>27</v>
      </c>
      <c r="M98" s="541"/>
    </row>
    <row r="99" spans="1:13" ht="30" customHeight="1" thickBot="1">
      <c r="A99" s="416"/>
      <c r="B99" s="445"/>
      <c r="C99" s="446"/>
      <c r="D99" s="455"/>
      <c r="E99" s="567"/>
      <c r="F99" s="243"/>
      <c r="G99" s="279">
        <f t="shared" si="7"/>
        <v>0</v>
      </c>
      <c r="H99" s="350"/>
      <c r="I99" s="280"/>
      <c r="J99" s="280">
        <v>15.18</v>
      </c>
      <c r="K99" s="252"/>
      <c r="L99" s="8" t="s">
        <v>28</v>
      </c>
      <c r="M99" s="541"/>
    </row>
    <row r="100" spans="1:13" ht="27.75" customHeight="1" thickBot="1">
      <c r="A100" s="416"/>
      <c r="B100" s="445"/>
      <c r="C100" s="446"/>
      <c r="D100" s="453">
        <v>2021</v>
      </c>
      <c r="E100" s="565">
        <f>F100+G100+J100+K100</f>
        <v>83.46000000000001</v>
      </c>
      <c r="F100" s="243"/>
      <c r="G100" s="243">
        <f>H100+I100</f>
        <v>0</v>
      </c>
      <c r="H100" s="243">
        <f>H101+H102+H103+H104+H105+H106</f>
        <v>0</v>
      </c>
      <c r="I100" s="243">
        <f>I101+I102+I103+I104+I105+I106</f>
        <v>0</v>
      </c>
      <c r="J100" s="243">
        <f>J101+J102+J103+J104+J105+J106</f>
        <v>83.46000000000001</v>
      </c>
      <c r="K100" s="243">
        <f>K101+K102+K103+K104+K105+K106</f>
        <v>0</v>
      </c>
      <c r="L100" s="8"/>
      <c r="M100" s="541"/>
    </row>
    <row r="101" spans="1:13" ht="39" customHeight="1" thickBot="1">
      <c r="A101" s="416"/>
      <c r="B101" s="445"/>
      <c r="C101" s="446"/>
      <c r="D101" s="454"/>
      <c r="E101" s="566"/>
      <c r="F101" s="243"/>
      <c r="G101" s="279">
        <f t="shared" si="6"/>
        <v>0</v>
      </c>
      <c r="H101" s="251"/>
      <c r="I101" s="274"/>
      <c r="J101" s="274">
        <v>0</v>
      </c>
      <c r="K101" s="252"/>
      <c r="L101" s="8" t="s">
        <v>11</v>
      </c>
      <c r="M101" s="541"/>
    </row>
    <row r="102" spans="1:13" ht="32.25" customHeight="1" thickBot="1">
      <c r="A102" s="416"/>
      <c r="B102" s="445"/>
      <c r="C102" s="446"/>
      <c r="D102" s="454"/>
      <c r="E102" s="566"/>
      <c r="F102" s="243"/>
      <c r="G102" s="279">
        <f t="shared" si="6"/>
        <v>0</v>
      </c>
      <c r="H102" s="251"/>
      <c r="I102" s="280"/>
      <c r="J102" s="280">
        <f>12.64</f>
        <v>12.64</v>
      </c>
      <c r="K102" s="252"/>
      <c r="L102" s="8" t="s">
        <v>17</v>
      </c>
      <c r="M102" s="541"/>
    </row>
    <row r="103" spans="1:13" ht="33.75" customHeight="1" thickBot="1">
      <c r="A103" s="416"/>
      <c r="B103" s="445"/>
      <c r="C103" s="446"/>
      <c r="D103" s="454"/>
      <c r="E103" s="566"/>
      <c r="F103" s="243"/>
      <c r="G103" s="279">
        <f t="shared" si="6"/>
        <v>0</v>
      </c>
      <c r="H103" s="251"/>
      <c r="I103" s="280"/>
      <c r="J103" s="280">
        <v>12.64</v>
      </c>
      <c r="K103" s="252"/>
      <c r="L103" s="8" t="s">
        <v>26</v>
      </c>
      <c r="M103" s="541"/>
    </row>
    <row r="104" spans="1:13" ht="31.5" customHeight="1" thickBot="1">
      <c r="A104" s="416"/>
      <c r="B104" s="445"/>
      <c r="C104" s="446"/>
      <c r="D104" s="454"/>
      <c r="E104" s="566"/>
      <c r="F104" s="243"/>
      <c r="G104" s="279">
        <f t="shared" si="6"/>
        <v>0</v>
      </c>
      <c r="H104" s="251"/>
      <c r="I104" s="280"/>
      <c r="J104" s="280">
        <v>12.64</v>
      </c>
      <c r="K104" s="252"/>
      <c r="L104" s="8" t="s">
        <v>14</v>
      </c>
      <c r="M104" s="541"/>
    </row>
    <row r="105" spans="1:13" ht="35.25" customHeight="1" thickBot="1">
      <c r="A105" s="416"/>
      <c r="B105" s="445"/>
      <c r="C105" s="446"/>
      <c r="D105" s="454"/>
      <c r="E105" s="566"/>
      <c r="F105" s="243"/>
      <c r="G105" s="279">
        <f t="shared" si="6"/>
        <v>0</v>
      </c>
      <c r="H105" s="251"/>
      <c r="I105" s="280"/>
      <c r="J105" s="280">
        <v>30.36</v>
      </c>
      <c r="K105" s="252"/>
      <c r="L105" s="8" t="s">
        <v>27</v>
      </c>
      <c r="M105" s="541"/>
    </row>
    <row r="106" spans="1:13" ht="33.75" customHeight="1" thickBot="1">
      <c r="A106" s="416"/>
      <c r="B106" s="447"/>
      <c r="C106" s="448"/>
      <c r="D106" s="455"/>
      <c r="E106" s="567"/>
      <c r="F106" s="243"/>
      <c r="G106" s="279">
        <f t="shared" si="6"/>
        <v>0</v>
      </c>
      <c r="H106" s="251"/>
      <c r="I106" s="280"/>
      <c r="J106" s="280">
        <v>15.18</v>
      </c>
      <c r="K106" s="252"/>
      <c r="L106" s="8" t="s">
        <v>28</v>
      </c>
      <c r="M106" s="542"/>
    </row>
    <row r="107" spans="1:13" ht="36" customHeight="1" thickBot="1">
      <c r="A107" s="416" t="s">
        <v>111</v>
      </c>
      <c r="B107" s="443" t="s">
        <v>112</v>
      </c>
      <c r="C107" s="444"/>
      <c r="D107" s="48">
        <v>2017</v>
      </c>
      <c r="E107" s="284">
        <f aca="true" t="shared" si="8" ref="E107:E113">F107+G107+J107+K107</f>
        <v>169.78</v>
      </c>
      <c r="F107" s="281"/>
      <c r="G107" s="282">
        <f aca="true" t="shared" si="9" ref="G107:G113">H107+I107</f>
        <v>155.2</v>
      </c>
      <c r="H107" s="283"/>
      <c r="I107" s="283">
        <v>155.2</v>
      </c>
      <c r="J107" s="284">
        <f>15-0.42</f>
        <v>14.58</v>
      </c>
      <c r="K107" s="285"/>
      <c r="L107" s="136" t="s">
        <v>34</v>
      </c>
      <c r="M107" s="540" t="s">
        <v>72</v>
      </c>
    </row>
    <row r="108" spans="1:13" ht="38.25" customHeight="1" thickBot="1">
      <c r="A108" s="416"/>
      <c r="B108" s="445"/>
      <c r="C108" s="446"/>
      <c r="D108" s="103">
        <v>2018</v>
      </c>
      <c r="E108" s="284">
        <f t="shared" si="8"/>
        <v>162.2</v>
      </c>
      <c r="F108" s="281"/>
      <c r="G108" s="282">
        <f t="shared" si="9"/>
        <v>162.2</v>
      </c>
      <c r="H108" s="283"/>
      <c r="I108" s="283">
        <v>162.2</v>
      </c>
      <c r="J108" s="286"/>
      <c r="K108" s="285"/>
      <c r="L108" s="6" t="s">
        <v>63</v>
      </c>
      <c r="M108" s="541"/>
    </row>
    <row r="109" spans="1:13" ht="38.25" customHeight="1" thickBot="1">
      <c r="A109" s="416"/>
      <c r="B109" s="445"/>
      <c r="C109" s="446"/>
      <c r="D109" s="103">
        <v>2019</v>
      </c>
      <c r="E109" s="284">
        <f t="shared" si="8"/>
        <v>162.2</v>
      </c>
      <c r="F109" s="281"/>
      <c r="G109" s="282">
        <f t="shared" si="9"/>
        <v>162.2</v>
      </c>
      <c r="H109" s="283"/>
      <c r="I109" s="283">
        <v>162.2</v>
      </c>
      <c r="J109" s="287"/>
      <c r="K109" s="288"/>
      <c r="L109" s="6" t="s">
        <v>34</v>
      </c>
      <c r="M109" s="541"/>
    </row>
    <row r="110" spans="1:13" ht="38.25" customHeight="1" thickBot="1">
      <c r="A110" s="416"/>
      <c r="B110" s="445"/>
      <c r="C110" s="446"/>
      <c r="D110" s="103">
        <v>2020</v>
      </c>
      <c r="E110" s="284">
        <f>F110+G110+J110+K110</f>
        <v>162.2</v>
      </c>
      <c r="F110" s="281"/>
      <c r="G110" s="348">
        <f>H110+I110</f>
        <v>162.2</v>
      </c>
      <c r="H110" s="283"/>
      <c r="I110" s="283">
        <v>162.2</v>
      </c>
      <c r="J110" s="353"/>
      <c r="K110" s="285"/>
      <c r="L110" s="6" t="s">
        <v>34</v>
      </c>
      <c r="M110" s="541"/>
    </row>
    <row r="111" spans="1:13" ht="44.25" customHeight="1" thickBot="1">
      <c r="A111" s="416"/>
      <c r="B111" s="447"/>
      <c r="C111" s="448"/>
      <c r="D111" s="103">
        <v>2021</v>
      </c>
      <c r="E111" s="284">
        <f t="shared" si="8"/>
        <v>162.2</v>
      </c>
      <c r="F111" s="281"/>
      <c r="G111" s="282">
        <f t="shared" si="9"/>
        <v>162.2</v>
      </c>
      <c r="H111" s="283"/>
      <c r="I111" s="289">
        <v>162.2</v>
      </c>
      <c r="J111" s="290"/>
      <c r="K111" s="285"/>
      <c r="L111" s="6" t="s">
        <v>34</v>
      </c>
      <c r="M111" s="542"/>
    </row>
    <row r="112" spans="1:13" ht="103.5" customHeight="1" thickBot="1">
      <c r="A112" s="117" t="s">
        <v>113</v>
      </c>
      <c r="B112" s="395" t="s">
        <v>114</v>
      </c>
      <c r="C112" s="396"/>
      <c r="D112" s="49">
        <v>2017</v>
      </c>
      <c r="E112" s="284">
        <f t="shared" si="8"/>
        <v>2375.768</v>
      </c>
      <c r="F112" s="281"/>
      <c r="G112" s="282">
        <f t="shared" si="9"/>
        <v>0</v>
      </c>
      <c r="H112" s="216"/>
      <c r="I112" s="216"/>
      <c r="J112" s="291">
        <v>2375.768</v>
      </c>
      <c r="K112" s="285"/>
      <c r="L112" s="105" t="s">
        <v>50</v>
      </c>
      <c r="M112" s="106" t="s">
        <v>78</v>
      </c>
    </row>
    <row r="113" spans="1:13" ht="28.5" customHeight="1" thickBot="1">
      <c r="A113" s="117"/>
      <c r="B113" s="397"/>
      <c r="C113" s="398"/>
      <c r="D113" s="73"/>
      <c r="E113" s="284">
        <f t="shared" si="8"/>
        <v>0</v>
      </c>
      <c r="F113" s="292"/>
      <c r="G113" s="282">
        <f t="shared" si="9"/>
        <v>0</v>
      </c>
      <c r="H113" s="216"/>
      <c r="I113" s="216"/>
      <c r="J113" s="291">
        <v>0</v>
      </c>
      <c r="K113" s="285"/>
      <c r="L113" s="65"/>
      <c r="M113" s="156"/>
    </row>
    <row r="114" spans="1:13" ht="33" customHeight="1" hidden="1" thickBot="1">
      <c r="A114" s="118"/>
      <c r="B114" s="620" t="s">
        <v>51</v>
      </c>
      <c r="C114" s="75"/>
      <c r="D114" s="73">
        <v>2017</v>
      </c>
      <c r="E114" s="87">
        <v>0</v>
      </c>
      <c r="F114" s="84"/>
      <c r="G114" s="166">
        <f t="shared" si="6"/>
        <v>0</v>
      </c>
      <c r="H114" s="146"/>
      <c r="I114" s="86">
        <f>I115+I116+I117+I118+I119</f>
        <v>0</v>
      </c>
      <c r="J114" s="86">
        <f>J115+J116+J117+J118+J119</f>
        <v>0</v>
      </c>
      <c r="K114" s="150"/>
      <c r="L114" s="105"/>
      <c r="M114" s="106"/>
    </row>
    <row r="115" spans="1:13" ht="31.5" customHeight="1" hidden="1" thickBot="1">
      <c r="A115" s="118"/>
      <c r="B115" s="621"/>
      <c r="C115" s="74"/>
      <c r="D115" s="73"/>
      <c r="E115" s="87"/>
      <c r="F115" s="84"/>
      <c r="G115" s="166">
        <f t="shared" si="6"/>
        <v>0</v>
      </c>
      <c r="H115" s="85"/>
      <c r="I115" s="86">
        <v>0</v>
      </c>
      <c r="J115" s="86">
        <v>0</v>
      </c>
      <c r="K115" s="140"/>
      <c r="L115" s="8" t="s">
        <v>17</v>
      </c>
      <c r="M115" s="106"/>
    </row>
    <row r="116" spans="1:13" ht="34.5" customHeight="1" hidden="1" thickBot="1">
      <c r="A116" s="118"/>
      <c r="B116" s="621"/>
      <c r="C116" s="74"/>
      <c r="D116" s="73"/>
      <c r="E116" s="87"/>
      <c r="F116" s="84"/>
      <c r="G116" s="166">
        <f t="shared" si="6"/>
        <v>0</v>
      </c>
      <c r="H116" s="85"/>
      <c r="I116" s="86">
        <v>0</v>
      </c>
      <c r="J116" s="86">
        <v>0</v>
      </c>
      <c r="K116" s="140"/>
      <c r="L116" s="8" t="s">
        <v>26</v>
      </c>
      <c r="M116" s="106"/>
    </row>
    <row r="117" spans="1:13" ht="31.5" customHeight="1" hidden="1" thickBot="1">
      <c r="A117" s="118"/>
      <c r="B117" s="621"/>
      <c r="C117" s="74"/>
      <c r="D117" s="73"/>
      <c r="E117" s="87"/>
      <c r="F117" s="84"/>
      <c r="G117" s="166">
        <f t="shared" si="6"/>
        <v>0</v>
      </c>
      <c r="H117" s="85"/>
      <c r="I117" s="86">
        <v>0</v>
      </c>
      <c r="J117" s="86">
        <v>0</v>
      </c>
      <c r="K117" s="140"/>
      <c r="L117" s="8" t="s">
        <v>14</v>
      </c>
      <c r="M117" s="106"/>
    </row>
    <row r="118" spans="1:13" ht="31.5" customHeight="1" hidden="1" thickBot="1">
      <c r="A118" s="118"/>
      <c r="B118" s="621"/>
      <c r="C118" s="74"/>
      <c r="D118" s="73"/>
      <c r="E118" s="87"/>
      <c r="F118" s="84"/>
      <c r="G118" s="166">
        <f t="shared" si="6"/>
        <v>0</v>
      </c>
      <c r="H118" s="85"/>
      <c r="I118" s="86">
        <v>0</v>
      </c>
      <c r="J118" s="86">
        <v>0</v>
      </c>
      <c r="K118" s="140"/>
      <c r="L118" s="8" t="s">
        <v>27</v>
      </c>
      <c r="M118" s="106"/>
    </row>
    <row r="119" spans="1:13" ht="30" customHeight="1" hidden="1" thickBot="1">
      <c r="A119" s="118"/>
      <c r="B119" s="622"/>
      <c r="C119" s="74"/>
      <c r="D119" s="73"/>
      <c r="E119" s="87"/>
      <c r="F119" s="147"/>
      <c r="G119" s="166">
        <f t="shared" si="6"/>
        <v>0</v>
      </c>
      <c r="H119" s="148"/>
      <c r="I119" s="86">
        <v>0</v>
      </c>
      <c r="J119" s="86">
        <v>0</v>
      </c>
      <c r="K119" s="151"/>
      <c r="L119" s="8" t="s">
        <v>44</v>
      </c>
      <c r="M119" s="106"/>
    </row>
    <row r="120" spans="1:13" ht="27.75" customHeight="1" thickBot="1">
      <c r="A120" s="436"/>
      <c r="B120" s="399" t="s">
        <v>40</v>
      </c>
      <c r="C120" s="400"/>
      <c r="D120" s="49">
        <v>2017</v>
      </c>
      <c r="E120" s="243">
        <f>F120+G120+J120+K120</f>
        <v>3516.3419999999996</v>
      </c>
      <c r="F120" s="293"/>
      <c r="G120" s="294">
        <f>H120+I120</f>
        <v>205.2</v>
      </c>
      <c r="H120" s="294">
        <f>H107+H71+H65+H60+H48+H43+H37+H19</f>
        <v>0</v>
      </c>
      <c r="I120" s="294">
        <f>I107+I71+I65+I60+I48+I43+I37+I19</f>
        <v>205.2</v>
      </c>
      <c r="J120" s="294">
        <f>J19+J37+J43+J48+J54+J60+J71+J107+J112</f>
        <v>3311.142</v>
      </c>
      <c r="K120" s="285">
        <v>0</v>
      </c>
      <c r="L120" s="8"/>
      <c r="M120" s="474"/>
    </row>
    <row r="121" spans="1:13" ht="32.25" customHeight="1" thickBot="1">
      <c r="A121" s="436"/>
      <c r="B121" s="401"/>
      <c r="C121" s="402"/>
      <c r="D121" s="49">
        <v>2018</v>
      </c>
      <c r="E121" s="243">
        <f>F121+G121+J121+K121</f>
        <v>3733.441</v>
      </c>
      <c r="F121" s="293"/>
      <c r="G121" s="295">
        <f t="shared" si="6"/>
        <v>162.2</v>
      </c>
      <c r="H121" s="296">
        <f>H26+H38+H44+H49+H55+H62+H66+H78+H108</f>
        <v>0</v>
      </c>
      <c r="I121" s="294">
        <f>I26+I38+I44+I49+I62+I66+I78+I108+I113</f>
        <v>162.2</v>
      </c>
      <c r="J121" s="294">
        <f>J26+J38+J44+J49+J62+J66+J78+J108+J113+J55</f>
        <v>3571.241</v>
      </c>
      <c r="K121" s="297">
        <v>0</v>
      </c>
      <c r="L121" s="6"/>
      <c r="M121" s="475"/>
    </row>
    <row r="122" spans="1:13" ht="32.25" customHeight="1" thickBot="1">
      <c r="A122" s="436"/>
      <c r="B122" s="401"/>
      <c r="C122" s="402"/>
      <c r="D122" s="49">
        <v>2019</v>
      </c>
      <c r="E122" s="243">
        <f>F122+G122+J122+K122</f>
        <v>245.66</v>
      </c>
      <c r="F122" s="293"/>
      <c r="G122" s="282">
        <f t="shared" si="6"/>
        <v>162.2</v>
      </c>
      <c r="H122" s="283">
        <f>H27+H39+H45+H50+H56+H63+H67+H79+H109</f>
        <v>0</v>
      </c>
      <c r="I122" s="298">
        <f>I27+I39+I45+I50+I63+I67+I79+I109+I114</f>
        <v>162.2</v>
      </c>
      <c r="J122" s="299">
        <f>J86</f>
        <v>83.46000000000001</v>
      </c>
      <c r="K122" s="285">
        <v>0</v>
      </c>
      <c r="L122" s="6"/>
      <c r="M122" s="475"/>
    </row>
    <row r="123" spans="1:13" ht="32.25" customHeight="1" thickBot="1">
      <c r="A123" s="436"/>
      <c r="B123" s="401"/>
      <c r="C123" s="402"/>
      <c r="D123" s="49">
        <v>2020</v>
      </c>
      <c r="E123" s="243">
        <f>F123+G123+J123+K123</f>
        <v>245.65999999999997</v>
      </c>
      <c r="F123" s="293"/>
      <c r="G123" s="348">
        <f>H123+I123</f>
        <v>162.2</v>
      </c>
      <c r="H123" s="300">
        <f>H27+H40+H45+H50+H57+H63+H68+H79+H110</f>
        <v>0</v>
      </c>
      <c r="I123" s="298">
        <f>I27+I40+I45+I50+I63+I68+I79+I110+I114</f>
        <v>162.2</v>
      </c>
      <c r="J123" s="299">
        <v>83.46</v>
      </c>
      <c r="K123" s="301">
        <v>0</v>
      </c>
      <c r="L123" s="6"/>
      <c r="M123" s="475"/>
    </row>
    <row r="124" spans="1:13" ht="29.25" customHeight="1" thickBot="1">
      <c r="A124" s="436"/>
      <c r="B124" s="403"/>
      <c r="C124" s="404"/>
      <c r="D124" s="49">
        <v>2021</v>
      </c>
      <c r="E124" s="243">
        <f>F124+G124+J124+K124</f>
        <v>245.66</v>
      </c>
      <c r="F124" s="293"/>
      <c r="G124" s="282">
        <f t="shared" si="6"/>
        <v>162.2</v>
      </c>
      <c r="H124" s="300">
        <f>H28+H41+H46+H51+H58+H64+H69+H80+H111</f>
        <v>0</v>
      </c>
      <c r="I124" s="298">
        <f>I28+I41+I46+I51+I64+I69+I80+I111+I115</f>
        <v>162.2</v>
      </c>
      <c r="J124" s="299">
        <f>J30+J41+J46+J51+J58+J64+J100</f>
        <v>83.46000000000001</v>
      </c>
      <c r="K124" s="301">
        <v>0</v>
      </c>
      <c r="L124" s="6"/>
      <c r="M124" s="476"/>
    </row>
    <row r="125" spans="1:13" ht="37.5" customHeight="1" thickBot="1">
      <c r="A125" s="118"/>
      <c r="B125" s="623" t="s">
        <v>24</v>
      </c>
      <c r="C125" s="624"/>
      <c r="D125" s="624"/>
      <c r="E125" s="624"/>
      <c r="F125" s="624"/>
      <c r="G125" s="624"/>
      <c r="H125" s="624"/>
      <c r="I125" s="624"/>
      <c r="J125" s="624"/>
      <c r="K125" s="624"/>
      <c r="L125" s="624"/>
      <c r="M125" s="625"/>
    </row>
    <row r="126" spans="1:13" ht="42.75" customHeight="1" thickBot="1">
      <c r="A126" s="118"/>
      <c r="B126" s="477" t="s">
        <v>80</v>
      </c>
      <c r="C126" s="478"/>
      <c r="D126" s="478"/>
      <c r="E126" s="478"/>
      <c r="F126" s="478"/>
      <c r="G126" s="478"/>
      <c r="H126" s="478"/>
      <c r="I126" s="478"/>
      <c r="J126" s="478"/>
      <c r="K126" s="478"/>
      <c r="L126" s="478"/>
      <c r="M126" s="479"/>
    </row>
    <row r="127" spans="1:13" ht="24.75" customHeight="1" thickBot="1">
      <c r="A127" s="118"/>
      <c r="B127" s="449" t="s">
        <v>82</v>
      </c>
      <c r="C127" s="450"/>
      <c r="D127" s="450"/>
      <c r="E127" s="450"/>
      <c r="F127" s="450"/>
      <c r="G127" s="450"/>
      <c r="H127" s="450"/>
      <c r="I127" s="450"/>
      <c r="J127" s="450"/>
      <c r="K127" s="126"/>
      <c r="L127" s="7"/>
      <c r="M127" s="4"/>
    </row>
    <row r="128" spans="1:13" ht="29.25" customHeight="1" thickBot="1">
      <c r="A128" s="118"/>
      <c r="B128" s="583" t="s">
        <v>81</v>
      </c>
      <c r="C128" s="584"/>
      <c r="D128" s="584"/>
      <c r="E128" s="584"/>
      <c r="F128" s="584"/>
      <c r="G128" s="584"/>
      <c r="H128" s="584"/>
      <c r="I128" s="584"/>
      <c r="J128" s="585"/>
      <c r="K128" s="12"/>
      <c r="L128" s="12"/>
      <c r="M128" s="7"/>
    </row>
    <row r="129" spans="1:13" ht="19.5" customHeight="1" thickBot="1">
      <c r="A129" s="118"/>
      <c r="B129" s="451" t="s">
        <v>71</v>
      </c>
      <c r="C129" s="452"/>
      <c r="D129" s="452"/>
      <c r="E129" s="452"/>
      <c r="F129" s="452"/>
      <c r="G129" s="452"/>
      <c r="H129" s="452"/>
      <c r="I129" s="452"/>
      <c r="J129" s="452"/>
      <c r="K129" s="127"/>
      <c r="L129" s="5"/>
      <c r="M129" s="7"/>
    </row>
    <row r="130" spans="1:13" ht="26.25" customHeight="1" thickBot="1">
      <c r="A130" s="118"/>
      <c r="B130" s="152" t="s">
        <v>3</v>
      </c>
      <c r="C130" s="153"/>
      <c r="D130" s="153"/>
      <c r="E130" s="153"/>
      <c r="F130" s="153"/>
      <c r="G130" s="153"/>
      <c r="H130" s="153"/>
      <c r="I130" s="2"/>
      <c r="J130" s="2"/>
      <c r="K130" s="2"/>
      <c r="L130" s="4"/>
      <c r="M130" s="2"/>
    </row>
    <row r="131" spans="1:13" ht="44.25" customHeight="1" thickBot="1">
      <c r="A131" s="416" t="s">
        <v>140</v>
      </c>
      <c r="B131" s="579" t="s">
        <v>141</v>
      </c>
      <c r="C131" s="102" t="s">
        <v>92</v>
      </c>
      <c r="D131" s="594">
        <v>2017</v>
      </c>
      <c r="E131" s="302">
        <f>F131+G131+J131+K131</f>
        <v>15500.856</v>
      </c>
      <c r="F131" s="326"/>
      <c r="G131" s="303">
        <f>H131+I131</f>
        <v>0</v>
      </c>
      <c r="H131" s="304"/>
      <c r="I131" s="305"/>
      <c r="J131" s="305">
        <f>J150+J151+J152+J153+J154+J156</f>
        <v>15500.856</v>
      </c>
      <c r="K131" s="306">
        <v>0</v>
      </c>
      <c r="L131" s="13" t="s">
        <v>47</v>
      </c>
      <c r="M131" s="366" t="s">
        <v>87</v>
      </c>
    </row>
    <row r="132" spans="1:13" ht="61.5" customHeight="1" thickBot="1">
      <c r="A132" s="416"/>
      <c r="B132" s="579"/>
      <c r="C132" s="101" t="s">
        <v>93</v>
      </c>
      <c r="D132" s="595"/>
      <c r="E132" s="302">
        <f>F132+G132+J132+K132</f>
        <v>10933.428</v>
      </c>
      <c r="F132" s="326"/>
      <c r="G132" s="308">
        <f>H132+I132</f>
        <v>0</v>
      </c>
      <c r="H132" s="309"/>
      <c r="I132" s="302"/>
      <c r="J132" s="305">
        <f>J155</f>
        <v>10933.428</v>
      </c>
      <c r="K132" s="306">
        <v>0</v>
      </c>
      <c r="L132" s="13" t="s">
        <v>8</v>
      </c>
      <c r="M132" s="367"/>
    </row>
    <row r="133" spans="1:13" ht="41.25" customHeight="1" thickBot="1">
      <c r="A133" s="416"/>
      <c r="B133" s="579"/>
      <c r="C133" s="101" t="s">
        <v>46</v>
      </c>
      <c r="D133" s="310">
        <v>2018</v>
      </c>
      <c r="E133" s="302">
        <f>F133+G133+J133+K133</f>
        <v>29226.555650000002</v>
      </c>
      <c r="F133" s="303"/>
      <c r="G133" s="311">
        <f>H133+I133</f>
        <v>0</v>
      </c>
      <c r="H133" s="311">
        <v>0</v>
      </c>
      <c r="I133" s="312">
        <v>0</v>
      </c>
      <c r="J133" s="305">
        <f>SUM(J134:J146)</f>
        <v>29226.555650000002</v>
      </c>
      <c r="K133" s="313">
        <v>0</v>
      </c>
      <c r="L133" s="13"/>
      <c r="M133" s="367"/>
    </row>
    <row r="134" spans="1:13" ht="28.5" customHeight="1" thickBot="1">
      <c r="A134" s="416"/>
      <c r="B134" s="579"/>
      <c r="C134" s="101" t="s">
        <v>55</v>
      </c>
      <c r="D134" s="310"/>
      <c r="E134" s="314"/>
      <c r="F134" s="326"/>
      <c r="G134" s="315">
        <f aca="true" t="shared" si="10" ref="G134:G146">H134+I134</f>
        <v>0</v>
      </c>
      <c r="H134" s="316"/>
      <c r="I134" s="280"/>
      <c r="J134" s="248">
        <f>105.997+1553.242+30.82212</f>
        <v>1690.06112</v>
      </c>
      <c r="K134" s="306">
        <v>0</v>
      </c>
      <c r="L134" s="413" t="s">
        <v>8</v>
      </c>
      <c r="M134" s="367"/>
    </row>
    <row r="135" spans="1:13" ht="28.5" customHeight="1" thickBot="1">
      <c r="A135" s="416"/>
      <c r="B135" s="579"/>
      <c r="C135" s="203" t="s">
        <v>149</v>
      </c>
      <c r="D135" s="317"/>
      <c r="E135" s="318"/>
      <c r="F135" s="326"/>
      <c r="G135" s="315">
        <f t="shared" si="10"/>
        <v>0</v>
      </c>
      <c r="H135" s="319"/>
      <c r="I135" s="219"/>
      <c r="J135" s="333">
        <f>2647.00046-137.31778</f>
        <v>2509.6826800000003</v>
      </c>
      <c r="K135" s="306">
        <v>0</v>
      </c>
      <c r="L135" s="414"/>
      <c r="M135" s="367"/>
    </row>
    <row r="136" spans="1:13" ht="22.5" customHeight="1" thickBot="1">
      <c r="A136" s="416"/>
      <c r="B136" s="579"/>
      <c r="C136" s="102" t="s">
        <v>151</v>
      </c>
      <c r="D136" s="307"/>
      <c r="E136" s="320"/>
      <c r="F136" s="326"/>
      <c r="G136" s="315">
        <f t="shared" si="10"/>
        <v>0</v>
      </c>
      <c r="H136" s="321"/>
      <c r="I136" s="322"/>
      <c r="J136" s="248">
        <f>19000-4993.27603+73.22078+64.097</f>
        <v>14144.041749999999</v>
      </c>
      <c r="K136" s="306">
        <v>0</v>
      </c>
      <c r="L136" s="414"/>
      <c r="M136" s="367"/>
    </row>
    <row r="137" spans="1:13" ht="24" customHeight="1" thickBot="1">
      <c r="A137" s="416"/>
      <c r="B137" s="579"/>
      <c r="C137" s="101" t="s">
        <v>56</v>
      </c>
      <c r="D137" s="310"/>
      <c r="E137" s="320"/>
      <c r="F137" s="326"/>
      <c r="G137" s="315">
        <f t="shared" si="10"/>
        <v>0</v>
      </c>
      <c r="H137" s="315"/>
      <c r="I137" s="219"/>
      <c r="J137" s="248">
        <f>620.082-142.882</f>
        <v>477.2</v>
      </c>
      <c r="K137" s="306">
        <v>0</v>
      </c>
      <c r="L137" s="414"/>
      <c r="M137" s="367"/>
    </row>
    <row r="138" spans="1:13" ht="26.25" customHeight="1" thickBot="1">
      <c r="A138" s="416"/>
      <c r="B138" s="579"/>
      <c r="C138" s="101" t="s">
        <v>57</v>
      </c>
      <c r="D138" s="310"/>
      <c r="E138" s="320"/>
      <c r="F138" s="326"/>
      <c r="G138" s="315">
        <f t="shared" si="10"/>
        <v>0</v>
      </c>
      <c r="H138" s="323"/>
      <c r="I138" s="219"/>
      <c r="J138" s="248">
        <f>4446.112-526.952+1537.10326</f>
        <v>5456.26326</v>
      </c>
      <c r="K138" s="306">
        <v>0</v>
      </c>
      <c r="L138" s="414"/>
      <c r="M138" s="367"/>
    </row>
    <row r="139" spans="1:13" ht="22.5" customHeight="1" thickBot="1">
      <c r="A139" s="416"/>
      <c r="B139" s="579"/>
      <c r="C139" s="101" t="s">
        <v>58</v>
      </c>
      <c r="D139" s="310"/>
      <c r="E139" s="320"/>
      <c r="F139" s="335"/>
      <c r="G139" s="315">
        <f t="shared" si="10"/>
        <v>0</v>
      </c>
      <c r="H139" s="315"/>
      <c r="I139" s="219"/>
      <c r="J139" s="336">
        <f>115.226+847.899</f>
        <v>963.125</v>
      </c>
      <c r="K139" s="306">
        <v>0</v>
      </c>
      <c r="L139" s="415"/>
      <c r="M139" s="367"/>
    </row>
    <row r="140" spans="1:13" ht="22.5" customHeight="1" thickBot="1">
      <c r="A140" s="416"/>
      <c r="B140" s="579"/>
      <c r="C140" s="101" t="s">
        <v>55</v>
      </c>
      <c r="D140" s="310"/>
      <c r="E140" s="320"/>
      <c r="F140" s="326"/>
      <c r="G140" s="315">
        <f t="shared" si="10"/>
        <v>0</v>
      </c>
      <c r="H140" s="323"/>
      <c r="I140" s="219"/>
      <c r="J140" s="248">
        <v>357.7</v>
      </c>
      <c r="K140" s="206" t="s">
        <v>55</v>
      </c>
      <c r="L140" s="204"/>
      <c r="M140" s="367"/>
    </row>
    <row r="141" spans="1:13" ht="22.5" customHeight="1" thickBot="1">
      <c r="A141" s="416"/>
      <c r="B141" s="579"/>
      <c r="C141" s="101" t="s">
        <v>149</v>
      </c>
      <c r="D141" s="310"/>
      <c r="E141" s="320"/>
      <c r="F141" s="326"/>
      <c r="G141" s="315">
        <f t="shared" si="10"/>
        <v>0</v>
      </c>
      <c r="H141" s="323"/>
      <c r="I141" s="219"/>
      <c r="J141" s="336">
        <f>105.779+362.898</f>
        <v>468.677</v>
      </c>
      <c r="K141" s="206" t="s">
        <v>149</v>
      </c>
      <c r="L141" s="204"/>
      <c r="M141" s="367"/>
    </row>
    <row r="142" spans="1:13" ht="22.5" customHeight="1" thickBot="1">
      <c r="A142" s="416"/>
      <c r="B142" s="579"/>
      <c r="C142" s="101" t="s">
        <v>56</v>
      </c>
      <c r="D142" s="310"/>
      <c r="E142" s="320"/>
      <c r="F142" s="326"/>
      <c r="G142" s="315">
        <f t="shared" si="10"/>
        <v>0</v>
      </c>
      <c r="H142" s="323"/>
      <c r="I142" s="219"/>
      <c r="J142" s="248">
        <v>0</v>
      </c>
      <c r="K142" s="206" t="s">
        <v>56</v>
      </c>
      <c r="L142" s="204"/>
      <c r="M142" s="367"/>
    </row>
    <row r="143" spans="1:13" ht="24.75" customHeight="1" thickBot="1">
      <c r="A143" s="416"/>
      <c r="B143" s="579"/>
      <c r="C143" s="101" t="s">
        <v>57</v>
      </c>
      <c r="D143" s="310"/>
      <c r="E143" s="320"/>
      <c r="F143" s="326"/>
      <c r="G143" s="315">
        <f t="shared" si="10"/>
        <v>0</v>
      </c>
      <c r="H143" s="323"/>
      <c r="I143" s="219"/>
      <c r="J143" s="248">
        <f>196.448+30+275.818</f>
        <v>502.26599999999996</v>
      </c>
      <c r="K143" s="306">
        <v>0</v>
      </c>
      <c r="L143" s="13" t="s">
        <v>60</v>
      </c>
      <c r="M143" s="367"/>
    </row>
    <row r="144" spans="1:13" ht="24.75" customHeight="1" thickBot="1">
      <c r="A144" s="416"/>
      <c r="B144" s="579"/>
      <c r="C144" s="101" t="s">
        <v>58</v>
      </c>
      <c r="D144" s="310"/>
      <c r="E144" s="320"/>
      <c r="F144" s="326"/>
      <c r="G144" s="315">
        <f t="shared" si="10"/>
        <v>0</v>
      </c>
      <c r="H144" s="323"/>
      <c r="I144" s="219"/>
      <c r="J144" s="248">
        <f>624.103+100+900</f>
        <v>1624.103</v>
      </c>
      <c r="K144" s="306">
        <v>0</v>
      </c>
      <c r="L144" s="13" t="s">
        <v>61</v>
      </c>
      <c r="M144" s="367"/>
    </row>
    <row r="145" spans="1:13" ht="27.75" customHeight="1" thickBot="1">
      <c r="A145" s="416"/>
      <c r="B145" s="579"/>
      <c r="C145" s="101" t="s">
        <v>59</v>
      </c>
      <c r="D145" s="310"/>
      <c r="E145" s="320"/>
      <c r="F145" s="326"/>
      <c r="G145" s="315">
        <f t="shared" si="10"/>
        <v>0</v>
      </c>
      <c r="H145" s="315"/>
      <c r="I145" s="219"/>
      <c r="J145" s="336">
        <f>491.117-443.682+838.97984</f>
        <v>886.4148399999999</v>
      </c>
      <c r="K145" s="306">
        <v>0</v>
      </c>
      <c r="L145" s="13" t="s">
        <v>62</v>
      </c>
      <c r="M145" s="367"/>
    </row>
    <row r="146" spans="1:13" ht="24.75" customHeight="1" thickBot="1">
      <c r="A146" s="416"/>
      <c r="B146" s="579"/>
      <c r="C146" s="101" t="s">
        <v>59</v>
      </c>
      <c r="D146" s="310"/>
      <c r="E146" s="320"/>
      <c r="F146" s="326"/>
      <c r="G146" s="315">
        <f t="shared" si="10"/>
        <v>0</v>
      </c>
      <c r="H146" s="323"/>
      <c r="I146" s="219"/>
      <c r="J146" s="354">
        <v>147.021</v>
      </c>
      <c r="K146" s="306">
        <v>0</v>
      </c>
      <c r="L146" s="13" t="s">
        <v>153</v>
      </c>
      <c r="M146" s="367"/>
    </row>
    <row r="147" spans="1:13" ht="39" customHeight="1" thickBot="1">
      <c r="A147" s="416"/>
      <c r="B147" s="579"/>
      <c r="C147" s="101" t="s">
        <v>46</v>
      </c>
      <c r="D147" s="317">
        <v>2019</v>
      </c>
      <c r="E147" s="320">
        <f aca="true" t="shared" si="11" ref="E147:E166">F147+G147+J147+K147</f>
        <v>0</v>
      </c>
      <c r="F147" s="326"/>
      <c r="G147" s="315">
        <f>H147+I147</f>
        <v>0</v>
      </c>
      <c r="H147" s="324"/>
      <c r="I147" s="272"/>
      <c r="J147" s="299">
        <v>0</v>
      </c>
      <c r="K147" s="306">
        <v>0</v>
      </c>
      <c r="L147" s="13" t="s">
        <v>8</v>
      </c>
      <c r="M147" s="367"/>
    </row>
    <row r="148" spans="1:13" ht="39" customHeight="1" thickBot="1">
      <c r="A148" s="416"/>
      <c r="B148" s="579"/>
      <c r="C148" s="104" t="s">
        <v>46</v>
      </c>
      <c r="D148" s="317">
        <v>2020</v>
      </c>
      <c r="E148" s="320">
        <f>F148+G148+J148+K148</f>
        <v>0</v>
      </c>
      <c r="F148" s="326"/>
      <c r="G148" s="315">
        <f>H148+I148</f>
        <v>0</v>
      </c>
      <c r="H148" s="324"/>
      <c r="I148" s="210"/>
      <c r="J148" s="299">
        <v>0</v>
      </c>
      <c r="K148" s="306">
        <v>0</v>
      </c>
      <c r="L148" s="13" t="s">
        <v>8</v>
      </c>
      <c r="M148" s="367"/>
    </row>
    <row r="149" spans="1:13" ht="39.75" customHeight="1" thickBot="1">
      <c r="A149" s="416"/>
      <c r="B149" s="580"/>
      <c r="C149" s="104" t="s">
        <v>46</v>
      </c>
      <c r="D149" s="317">
        <v>2021</v>
      </c>
      <c r="E149" s="320">
        <f t="shared" si="11"/>
        <v>0</v>
      </c>
      <c r="F149" s="326"/>
      <c r="G149" s="315">
        <f>H149+I149</f>
        <v>0</v>
      </c>
      <c r="H149" s="324"/>
      <c r="I149" s="210"/>
      <c r="J149" s="299">
        <v>0</v>
      </c>
      <c r="K149" s="306">
        <v>0</v>
      </c>
      <c r="L149" s="13" t="s">
        <v>8</v>
      </c>
      <c r="M149" s="367"/>
    </row>
    <row r="150" spans="1:13" ht="37.5" customHeight="1" thickBot="1">
      <c r="A150" s="416" t="s">
        <v>115</v>
      </c>
      <c r="B150" s="369" t="s">
        <v>116</v>
      </c>
      <c r="C150" s="405"/>
      <c r="D150" s="610">
        <v>2017</v>
      </c>
      <c r="E150" s="320">
        <f t="shared" si="11"/>
        <v>6400.301</v>
      </c>
      <c r="F150" s="327"/>
      <c r="G150" s="315">
        <f aca="true" t="shared" si="12" ref="G150:G156">H150+I150</f>
        <v>0</v>
      </c>
      <c r="H150" s="325"/>
      <c r="I150" s="169"/>
      <c r="J150" s="168">
        <v>6400.301</v>
      </c>
      <c r="K150" s="306">
        <v>0</v>
      </c>
      <c r="L150" s="13" t="s">
        <v>8</v>
      </c>
      <c r="M150" s="367"/>
    </row>
    <row r="151" spans="1:13" ht="33.75" customHeight="1" thickBot="1">
      <c r="A151" s="416"/>
      <c r="B151" s="372"/>
      <c r="C151" s="406"/>
      <c r="D151" s="611"/>
      <c r="E151" s="320">
        <f t="shared" si="11"/>
        <v>1458.533</v>
      </c>
      <c r="F151" s="327"/>
      <c r="G151" s="315">
        <f t="shared" si="12"/>
        <v>0</v>
      </c>
      <c r="H151" s="325"/>
      <c r="I151" s="169"/>
      <c r="J151" s="169">
        <v>1458.533</v>
      </c>
      <c r="K151" s="306">
        <v>0</v>
      </c>
      <c r="L151" s="13" t="s">
        <v>4</v>
      </c>
      <c r="M151" s="367"/>
    </row>
    <row r="152" spans="1:13" ht="30" customHeight="1" thickBot="1">
      <c r="A152" s="416" t="s">
        <v>117</v>
      </c>
      <c r="B152" s="369" t="s">
        <v>118</v>
      </c>
      <c r="C152" s="405"/>
      <c r="D152" s="581">
        <v>2017</v>
      </c>
      <c r="E152" s="320">
        <f t="shared" si="11"/>
        <v>2177.928</v>
      </c>
      <c r="F152" s="327"/>
      <c r="G152" s="167">
        <f t="shared" si="12"/>
        <v>0</v>
      </c>
      <c r="H152" s="80"/>
      <c r="I152" s="81"/>
      <c r="J152" s="81">
        <v>2177.928</v>
      </c>
      <c r="K152" s="179">
        <v>0</v>
      </c>
      <c r="L152" s="13" t="s">
        <v>8</v>
      </c>
      <c r="M152" s="367"/>
    </row>
    <row r="153" spans="1:13" ht="31.5" customHeight="1" thickBot="1">
      <c r="A153" s="416"/>
      <c r="B153" s="372"/>
      <c r="C153" s="406"/>
      <c r="D153" s="582"/>
      <c r="E153" s="320">
        <f t="shared" si="11"/>
        <v>431.162</v>
      </c>
      <c r="F153" s="327"/>
      <c r="G153" s="167">
        <f t="shared" si="12"/>
        <v>0</v>
      </c>
      <c r="H153" s="80"/>
      <c r="I153" s="81"/>
      <c r="J153" s="81">
        <v>431.162</v>
      </c>
      <c r="K153" s="179">
        <v>0</v>
      </c>
      <c r="L153" s="13" t="s">
        <v>4</v>
      </c>
      <c r="M153" s="367"/>
    </row>
    <row r="154" spans="1:13" ht="27.75" customHeight="1" thickBot="1">
      <c r="A154" s="416" t="s">
        <v>119</v>
      </c>
      <c r="B154" s="369" t="s">
        <v>120</v>
      </c>
      <c r="C154" s="405"/>
      <c r="D154" s="581">
        <v>2017</v>
      </c>
      <c r="E154" s="320">
        <f t="shared" si="11"/>
        <v>4135.29</v>
      </c>
      <c r="F154" s="327"/>
      <c r="G154" s="167">
        <f t="shared" si="12"/>
        <v>0</v>
      </c>
      <c r="H154" s="80"/>
      <c r="I154" s="81"/>
      <c r="J154" s="81">
        <v>4135.29</v>
      </c>
      <c r="K154" s="179">
        <v>0</v>
      </c>
      <c r="L154" s="413" t="s">
        <v>8</v>
      </c>
      <c r="M154" s="367"/>
    </row>
    <row r="155" spans="1:13" ht="30.75" customHeight="1" thickBot="1">
      <c r="A155" s="416"/>
      <c r="B155" s="371"/>
      <c r="C155" s="437"/>
      <c r="D155" s="626"/>
      <c r="E155" s="320">
        <f t="shared" si="11"/>
        <v>10933.428</v>
      </c>
      <c r="F155" s="327"/>
      <c r="G155" s="167">
        <f t="shared" si="12"/>
        <v>0</v>
      </c>
      <c r="H155" s="80"/>
      <c r="I155" s="81"/>
      <c r="J155" s="81">
        <v>10933.428</v>
      </c>
      <c r="K155" s="179">
        <v>0</v>
      </c>
      <c r="L155" s="415"/>
      <c r="M155" s="367"/>
    </row>
    <row r="156" spans="1:13" ht="42.75" customHeight="1" thickBot="1">
      <c r="A156" s="416"/>
      <c r="B156" s="372"/>
      <c r="C156" s="437"/>
      <c r="D156" s="582"/>
      <c r="E156" s="320">
        <f t="shared" si="11"/>
        <v>897.642</v>
      </c>
      <c r="F156" s="327"/>
      <c r="G156" s="167">
        <f t="shared" si="12"/>
        <v>0</v>
      </c>
      <c r="H156" s="79"/>
      <c r="I156" s="82"/>
      <c r="J156" s="81">
        <v>897.642</v>
      </c>
      <c r="K156" s="179">
        <v>0</v>
      </c>
      <c r="L156" s="188" t="s">
        <v>4</v>
      </c>
      <c r="M156" s="368"/>
    </row>
    <row r="157" spans="1:13" ht="29.25" customHeight="1" thickBot="1">
      <c r="A157" s="440" t="s">
        <v>143</v>
      </c>
      <c r="B157" s="369" t="s">
        <v>144</v>
      </c>
      <c r="C157" s="195"/>
      <c r="D157" s="192">
        <v>2018</v>
      </c>
      <c r="E157" s="320">
        <f t="shared" si="11"/>
        <v>1160.29126</v>
      </c>
      <c r="F157" s="81">
        <f>F158+F165</f>
        <v>0</v>
      </c>
      <c r="G157" s="81">
        <f>H157+I157</f>
        <v>0</v>
      </c>
      <c r="H157" s="81">
        <f>H158+H165</f>
        <v>0</v>
      </c>
      <c r="I157" s="81">
        <f>I158+I165</f>
        <v>0</v>
      </c>
      <c r="J157" s="81">
        <f>J158+J165</f>
        <v>1160.29126</v>
      </c>
      <c r="K157" s="81">
        <f>K158+K165</f>
        <v>0</v>
      </c>
      <c r="L157" s="191"/>
      <c r="M157" s="373" t="s">
        <v>150</v>
      </c>
    </row>
    <row r="158" spans="1:13" ht="29.25" customHeight="1" thickBot="1">
      <c r="A158" s="441"/>
      <c r="B158" s="370"/>
      <c r="C158" s="193"/>
      <c r="D158" s="194">
        <v>2018</v>
      </c>
      <c r="E158" s="320">
        <f t="shared" si="11"/>
        <v>1160.29126</v>
      </c>
      <c r="F158" s="328"/>
      <c r="G158" s="187">
        <f aca="true" t="shared" si="13" ref="G158:G174">H158+I158</f>
        <v>0</v>
      </c>
      <c r="H158" s="189"/>
      <c r="I158" s="82">
        <v>0</v>
      </c>
      <c r="J158" s="81">
        <f>SUM(J159:J164)</f>
        <v>1160.29126</v>
      </c>
      <c r="K158" s="190"/>
      <c r="L158" s="191"/>
      <c r="M158" s="374"/>
    </row>
    <row r="159" spans="1:13" ht="29.25" customHeight="1" thickBot="1">
      <c r="A159" s="441"/>
      <c r="B159" s="370"/>
      <c r="C159" s="101" t="s">
        <v>55</v>
      </c>
      <c r="D159" s="192"/>
      <c r="E159" s="320">
        <f t="shared" si="11"/>
        <v>33.980000000000004</v>
      </c>
      <c r="F159" s="328"/>
      <c r="G159" s="187">
        <f t="shared" si="13"/>
        <v>0</v>
      </c>
      <c r="H159" s="79"/>
      <c r="I159" s="82"/>
      <c r="J159" s="216">
        <f>24+9.98</f>
        <v>33.980000000000004</v>
      </c>
      <c r="K159" s="179"/>
      <c r="L159" s="188" t="s">
        <v>145</v>
      </c>
      <c r="M159" s="374"/>
    </row>
    <row r="160" spans="1:13" ht="29.25" customHeight="1" thickBot="1">
      <c r="A160" s="441"/>
      <c r="B160" s="370"/>
      <c r="C160" s="101" t="s">
        <v>149</v>
      </c>
      <c r="D160" s="192"/>
      <c r="E160" s="320">
        <f t="shared" si="11"/>
        <v>205.16826000000003</v>
      </c>
      <c r="F160" s="328"/>
      <c r="G160" s="187">
        <f t="shared" si="13"/>
        <v>0</v>
      </c>
      <c r="H160" s="79"/>
      <c r="I160" s="82"/>
      <c r="J160" s="347">
        <f>304.8-99.63174</f>
        <v>205.16826000000003</v>
      </c>
      <c r="K160" s="179"/>
      <c r="L160" s="188" t="s">
        <v>146</v>
      </c>
      <c r="M160" s="374"/>
    </row>
    <row r="161" spans="1:13" ht="29.25" customHeight="1" thickBot="1">
      <c r="A161" s="441"/>
      <c r="B161" s="370"/>
      <c r="C161" s="101" t="s">
        <v>56</v>
      </c>
      <c r="D161" s="192"/>
      <c r="E161" s="320">
        <f t="shared" si="11"/>
        <v>193.929</v>
      </c>
      <c r="F161" s="328"/>
      <c r="G161" s="187">
        <f t="shared" si="13"/>
        <v>0</v>
      </c>
      <c r="H161" s="79"/>
      <c r="I161" s="82"/>
      <c r="J161" s="107">
        <f>138.5+55.429</f>
        <v>193.929</v>
      </c>
      <c r="K161" s="179"/>
      <c r="L161" s="188" t="s">
        <v>147</v>
      </c>
      <c r="M161" s="374"/>
    </row>
    <row r="162" spans="1:13" ht="29.25" customHeight="1" thickBot="1">
      <c r="A162" s="441"/>
      <c r="B162" s="370"/>
      <c r="C162" s="101" t="s">
        <v>57</v>
      </c>
      <c r="D162" s="192"/>
      <c r="E162" s="320">
        <f t="shared" si="11"/>
        <v>522.2139999999999</v>
      </c>
      <c r="F162" s="328"/>
      <c r="G162" s="187">
        <f t="shared" si="13"/>
        <v>0</v>
      </c>
      <c r="H162" s="79"/>
      <c r="I162" s="82"/>
      <c r="J162" s="107">
        <f>874-134.152-30-249.634+62</f>
        <v>522.2139999999999</v>
      </c>
      <c r="K162" s="179"/>
      <c r="L162" s="188" t="s">
        <v>148</v>
      </c>
      <c r="M162" s="374"/>
    </row>
    <row r="163" spans="1:13" ht="29.25" customHeight="1" thickBot="1">
      <c r="A163" s="441"/>
      <c r="B163" s="370"/>
      <c r="C163" s="101" t="s">
        <v>58</v>
      </c>
      <c r="D163" s="192"/>
      <c r="E163" s="320">
        <f t="shared" si="11"/>
        <v>40</v>
      </c>
      <c r="F163" s="328"/>
      <c r="G163" s="187">
        <f t="shared" si="13"/>
        <v>0</v>
      </c>
      <c r="H163" s="79"/>
      <c r="I163" s="82"/>
      <c r="J163" s="107">
        <f>100-60</f>
        <v>40</v>
      </c>
      <c r="K163" s="179"/>
      <c r="L163" s="188" t="s">
        <v>61</v>
      </c>
      <c r="M163" s="374"/>
    </row>
    <row r="164" spans="1:13" ht="29.25" customHeight="1" thickBot="1">
      <c r="A164" s="441"/>
      <c r="B164" s="370"/>
      <c r="C164" s="101" t="s">
        <v>59</v>
      </c>
      <c r="D164" s="192"/>
      <c r="E164" s="320">
        <f t="shared" si="11"/>
        <v>165</v>
      </c>
      <c r="F164" s="328"/>
      <c r="G164" s="187">
        <f t="shared" si="13"/>
        <v>0</v>
      </c>
      <c r="H164" s="79"/>
      <c r="I164" s="82"/>
      <c r="J164" s="346">
        <v>165</v>
      </c>
      <c r="K164" s="179"/>
      <c r="L164" s="188" t="s">
        <v>59</v>
      </c>
      <c r="M164" s="374"/>
    </row>
    <row r="165" spans="1:13" ht="29.25" customHeight="1" thickBot="1">
      <c r="A165" s="441"/>
      <c r="B165" s="370"/>
      <c r="C165" s="101"/>
      <c r="D165" s="192">
        <v>2018</v>
      </c>
      <c r="E165" s="320">
        <f t="shared" si="11"/>
        <v>0</v>
      </c>
      <c r="F165" s="328"/>
      <c r="G165" s="81">
        <f t="shared" si="13"/>
        <v>0</v>
      </c>
      <c r="H165" s="91">
        <f>SUM(H166:H171)</f>
        <v>0</v>
      </c>
      <c r="I165" s="91">
        <f>SUM(I166:I171)</f>
        <v>0</v>
      </c>
      <c r="J165" s="81">
        <f>SUM(J166:J171)</f>
        <v>0</v>
      </c>
      <c r="K165" s="91">
        <f>SUM(K166:K171)</f>
        <v>0</v>
      </c>
      <c r="L165" s="191"/>
      <c r="M165" s="374"/>
    </row>
    <row r="166" spans="1:13" ht="29.25" customHeight="1" thickBot="1">
      <c r="A166" s="441"/>
      <c r="B166" s="370"/>
      <c r="C166" s="101" t="s">
        <v>55</v>
      </c>
      <c r="D166" s="192"/>
      <c r="E166" s="320">
        <f t="shared" si="11"/>
        <v>0</v>
      </c>
      <c r="F166" s="328"/>
      <c r="G166" s="187">
        <f t="shared" si="13"/>
        <v>0</v>
      </c>
      <c r="H166" s="79"/>
      <c r="I166" s="82"/>
      <c r="J166" s="334">
        <f>500-500</f>
        <v>0</v>
      </c>
      <c r="K166" s="179"/>
      <c r="L166" s="188" t="s">
        <v>62</v>
      </c>
      <c r="M166" s="374"/>
    </row>
    <row r="167" spans="1:13" ht="29.25" customHeight="1" thickBot="1">
      <c r="A167" s="441"/>
      <c r="B167" s="370"/>
      <c r="C167" s="101" t="s">
        <v>149</v>
      </c>
      <c r="D167" s="192"/>
      <c r="E167" s="320">
        <f aca="true" t="shared" si="14" ref="E167:E179">F167+G167+J167+K167</f>
        <v>0</v>
      </c>
      <c r="F167" s="328"/>
      <c r="G167" s="187">
        <f t="shared" si="13"/>
        <v>0</v>
      </c>
      <c r="H167" s="79"/>
      <c r="I167" s="82"/>
      <c r="J167" s="334">
        <f>306-306</f>
        <v>0</v>
      </c>
      <c r="K167" s="179"/>
      <c r="L167" s="188" t="s">
        <v>62</v>
      </c>
      <c r="M167" s="374"/>
    </row>
    <row r="168" spans="1:13" ht="29.25" customHeight="1" thickBot="1">
      <c r="A168" s="441"/>
      <c r="B168" s="370"/>
      <c r="C168" s="101" t="s">
        <v>56</v>
      </c>
      <c r="D168" s="192"/>
      <c r="E168" s="320">
        <f t="shared" si="14"/>
        <v>0</v>
      </c>
      <c r="F168" s="328"/>
      <c r="G168" s="187">
        <f t="shared" si="13"/>
        <v>0</v>
      </c>
      <c r="H168" s="79"/>
      <c r="I168" s="82"/>
      <c r="J168" s="334">
        <v>0</v>
      </c>
      <c r="K168" s="179"/>
      <c r="L168" s="188" t="s">
        <v>62</v>
      </c>
      <c r="M168" s="374"/>
    </row>
    <row r="169" spans="1:13" ht="29.25" customHeight="1" thickBot="1">
      <c r="A169" s="441"/>
      <c r="B169" s="370"/>
      <c r="C169" s="101" t="s">
        <v>57</v>
      </c>
      <c r="D169" s="192"/>
      <c r="E169" s="320">
        <f t="shared" si="14"/>
        <v>0</v>
      </c>
      <c r="F169" s="328"/>
      <c r="G169" s="187">
        <f t="shared" si="13"/>
        <v>0</v>
      </c>
      <c r="H169" s="79"/>
      <c r="I169" s="82"/>
      <c r="J169" s="334">
        <f>1940-1940</f>
        <v>0</v>
      </c>
      <c r="K169" s="179"/>
      <c r="L169" s="188" t="s">
        <v>62</v>
      </c>
      <c r="M169" s="374"/>
    </row>
    <row r="170" spans="1:13" ht="29.25" customHeight="1" thickBot="1">
      <c r="A170" s="441"/>
      <c r="B170" s="370"/>
      <c r="C170" s="101" t="s">
        <v>58</v>
      </c>
      <c r="D170" s="192"/>
      <c r="E170" s="320">
        <f t="shared" si="14"/>
        <v>0</v>
      </c>
      <c r="F170" s="328"/>
      <c r="G170" s="187">
        <f t="shared" si="13"/>
        <v>0</v>
      </c>
      <c r="H170" s="79"/>
      <c r="I170" s="82"/>
      <c r="J170" s="334">
        <f>750-750</f>
        <v>0</v>
      </c>
      <c r="K170" s="179"/>
      <c r="L170" s="188" t="s">
        <v>62</v>
      </c>
      <c r="M170" s="374"/>
    </row>
    <row r="171" spans="1:13" ht="29.25" customHeight="1" thickBot="1">
      <c r="A171" s="441"/>
      <c r="B171" s="370"/>
      <c r="C171" s="101" t="s">
        <v>59</v>
      </c>
      <c r="D171" s="192"/>
      <c r="E171" s="320">
        <f t="shared" si="14"/>
        <v>0</v>
      </c>
      <c r="F171" s="328"/>
      <c r="G171" s="187">
        <f t="shared" si="13"/>
        <v>0</v>
      </c>
      <c r="H171" s="79"/>
      <c r="I171" s="82"/>
      <c r="J171" s="334">
        <f>1010-1010</f>
        <v>0</v>
      </c>
      <c r="K171" s="179"/>
      <c r="L171" s="188" t="s">
        <v>62</v>
      </c>
      <c r="M171" s="374"/>
    </row>
    <row r="172" spans="1:13" ht="29.25" customHeight="1" thickBot="1">
      <c r="A172" s="441"/>
      <c r="B172" s="371"/>
      <c r="C172" s="195"/>
      <c r="D172" s="197">
        <v>2019</v>
      </c>
      <c r="E172" s="320">
        <f t="shared" si="14"/>
        <v>0</v>
      </c>
      <c r="F172" s="328"/>
      <c r="G172" s="187">
        <f t="shared" si="13"/>
        <v>0</v>
      </c>
      <c r="H172" s="79"/>
      <c r="I172" s="186"/>
      <c r="J172" s="187">
        <v>0</v>
      </c>
      <c r="K172" s="179"/>
      <c r="L172" s="188"/>
      <c r="M172" s="374"/>
    </row>
    <row r="173" spans="1:13" ht="29.25" customHeight="1" thickBot="1">
      <c r="A173" s="441"/>
      <c r="B173" s="371"/>
      <c r="C173" s="195"/>
      <c r="D173" s="197">
        <v>2020</v>
      </c>
      <c r="E173" s="320">
        <f>F173+G173+J173+K173</f>
        <v>0</v>
      </c>
      <c r="F173" s="328"/>
      <c r="G173" s="187">
        <f>H173+I173</f>
        <v>0</v>
      </c>
      <c r="H173" s="79"/>
      <c r="I173" s="186"/>
      <c r="J173" s="187">
        <v>0</v>
      </c>
      <c r="K173" s="179"/>
      <c r="L173" s="188"/>
      <c r="M173" s="374"/>
    </row>
    <row r="174" spans="1:13" ht="29.25" customHeight="1" thickBot="1">
      <c r="A174" s="442"/>
      <c r="B174" s="372"/>
      <c r="C174" s="195"/>
      <c r="D174" s="197">
        <v>2021</v>
      </c>
      <c r="E174" s="320">
        <f t="shared" si="14"/>
        <v>0</v>
      </c>
      <c r="F174" s="328"/>
      <c r="G174" s="187">
        <f t="shared" si="13"/>
        <v>0</v>
      </c>
      <c r="H174" s="79"/>
      <c r="I174" s="186"/>
      <c r="J174" s="187">
        <v>0</v>
      </c>
      <c r="K174" s="179"/>
      <c r="L174" s="188"/>
      <c r="M174" s="375"/>
    </row>
    <row r="175" spans="1:13" ht="30.75" customHeight="1" thickBot="1">
      <c r="A175" s="436"/>
      <c r="B175" s="399" t="s">
        <v>49</v>
      </c>
      <c r="C175" s="402"/>
      <c r="D175" s="49">
        <v>2017</v>
      </c>
      <c r="E175" s="320">
        <f t="shared" si="14"/>
        <v>26434.284</v>
      </c>
      <c r="F175" s="328"/>
      <c r="G175" s="107">
        <f>H175+I175</f>
        <v>0</v>
      </c>
      <c r="H175" s="83"/>
      <c r="I175" s="91">
        <f>I131+I132</f>
        <v>0</v>
      </c>
      <c r="J175" s="201">
        <f>J131+J132</f>
        <v>26434.284</v>
      </c>
      <c r="K175" s="196">
        <v>0</v>
      </c>
      <c r="L175" s="13"/>
      <c r="M175" s="14"/>
    </row>
    <row r="176" spans="1:13" ht="33" customHeight="1" thickBot="1">
      <c r="A176" s="436"/>
      <c r="B176" s="401"/>
      <c r="C176" s="402"/>
      <c r="D176" s="49">
        <v>2018</v>
      </c>
      <c r="E176" s="320">
        <f t="shared" si="14"/>
        <v>30386.84691</v>
      </c>
      <c r="F176" s="328"/>
      <c r="G176" s="107">
        <f>H176+I176</f>
        <v>0</v>
      </c>
      <c r="H176" s="83"/>
      <c r="I176" s="91">
        <f>I133</f>
        <v>0</v>
      </c>
      <c r="J176" s="202">
        <f>J133+J157</f>
        <v>30386.84691</v>
      </c>
      <c r="K176" s="196">
        <v>0</v>
      </c>
      <c r="L176" s="13"/>
      <c r="M176" s="14"/>
    </row>
    <row r="177" spans="1:13" ht="30.75" customHeight="1" thickBot="1">
      <c r="A177" s="436"/>
      <c r="B177" s="401"/>
      <c r="C177" s="402"/>
      <c r="D177" s="49">
        <v>2019</v>
      </c>
      <c r="E177" s="320">
        <f t="shared" si="14"/>
        <v>0</v>
      </c>
      <c r="F177" s="328"/>
      <c r="G177" s="107">
        <f>H177+I177</f>
        <v>0</v>
      </c>
      <c r="H177" s="71"/>
      <c r="I177" s="69">
        <f>I147</f>
        <v>0</v>
      </c>
      <c r="J177" s="201">
        <v>0</v>
      </c>
      <c r="K177" s="196">
        <v>0</v>
      </c>
      <c r="L177" s="13"/>
      <c r="M177" s="14"/>
    </row>
    <row r="178" spans="1:13" ht="30.75" customHeight="1" thickBot="1">
      <c r="A178" s="436"/>
      <c r="B178" s="401"/>
      <c r="C178" s="402"/>
      <c r="D178" s="49">
        <v>2020</v>
      </c>
      <c r="E178" s="320">
        <f>F178+G178+J178+K178</f>
        <v>0</v>
      </c>
      <c r="F178" s="328"/>
      <c r="G178" s="107">
        <f>H178+I178</f>
        <v>0</v>
      </c>
      <c r="H178" s="71"/>
      <c r="I178" s="69">
        <f>I148</f>
        <v>0</v>
      </c>
      <c r="J178" s="201">
        <v>0</v>
      </c>
      <c r="K178" s="196">
        <v>0</v>
      </c>
      <c r="L178" s="13"/>
      <c r="M178" s="14"/>
    </row>
    <row r="179" spans="1:13" ht="27.75" customHeight="1" thickBot="1">
      <c r="A179" s="436"/>
      <c r="B179" s="403"/>
      <c r="C179" s="404"/>
      <c r="D179" s="49">
        <v>2021</v>
      </c>
      <c r="E179" s="320">
        <f t="shared" si="14"/>
        <v>0</v>
      </c>
      <c r="F179" s="328"/>
      <c r="G179" s="107">
        <f>H179+I179</f>
        <v>0</v>
      </c>
      <c r="H179" s="71"/>
      <c r="I179" s="69">
        <f>I149</f>
        <v>0</v>
      </c>
      <c r="J179" s="201">
        <v>0</v>
      </c>
      <c r="K179" s="196">
        <v>0</v>
      </c>
      <c r="L179" s="13"/>
      <c r="M179" s="14"/>
    </row>
    <row r="180" spans="1:13" ht="27" customHeight="1" thickBot="1">
      <c r="A180" s="118"/>
      <c r="B180" s="417" t="s">
        <v>142</v>
      </c>
      <c r="C180" s="418"/>
      <c r="D180" s="418"/>
      <c r="E180" s="418"/>
      <c r="F180" s="418"/>
      <c r="G180" s="418"/>
      <c r="H180" s="418"/>
      <c r="I180" s="418"/>
      <c r="J180" s="418"/>
      <c r="K180" s="418"/>
      <c r="L180" s="418"/>
      <c r="M180" s="420"/>
    </row>
    <row r="181" spans="1:13" ht="27" customHeight="1" thickBot="1">
      <c r="A181" s="118"/>
      <c r="B181" s="363" t="s">
        <v>73</v>
      </c>
      <c r="C181" s="364"/>
      <c r="D181" s="364"/>
      <c r="E181" s="364"/>
      <c r="F181" s="364"/>
      <c r="G181" s="364"/>
      <c r="H181" s="364"/>
      <c r="I181" s="364"/>
      <c r="J181" s="364"/>
      <c r="K181" s="364"/>
      <c r="L181" s="364"/>
      <c r="M181" s="365"/>
    </row>
    <row r="182" spans="1:13" ht="27" customHeight="1" thickBot="1">
      <c r="A182" s="118"/>
      <c r="B182" s="410" t="s">
        <v>88</v>
      </c>
      <c r="C182" s="364"/>
      <c r="D182" s="411"/>
      <c r="E182" s="411"/>
      <c r="F182" s="411"/>
      <c r="G182" s="411"/>
      <c r="H182" s="411"/>
      <c r="I182" s="411"/>
      <c r="J182" s="411"/>
      <c r="K182" s="411"/>
      <c r="L182" s="411"/>
      <c r="M182" s="412"/>
    </row>
    <row r="183" spans="1:13" ht="49.5" customHeight="1" thickBot="1">
      <c r="A183" s="416" t="s">
        <v>121</v>
      </c>
      <c r="B183" s="586" t="s">
        <v>122</v>
      </c>
      <c r="C183" s="587"/>
      <c r="D183" s="191">
        <v>2017</v>
      </c>
      <c r="E183" s="112">
        <f aca="true" t="shared" si="15" ref="E183:E191">F183+G183+J183+K183</f>
        <v>200580.416</v>
      </c>
      <c r="F183" s="100">
        <f>F184+F185+F186+F187+F188+F189+F190</f>
        <v>124615.2</v>
      </c>
      <c r="G183" s="170">
        <f>H183+I183</f>
        <v>727</v>
      </c>
      <c r="H183" s="170">
        <f>H184+H185+H186+H187+H188+H189+H190</f>
        <v>0</v>
      </c>
      <c r="I183" s="170">
        <f>I184+I185+I186+I187+I188+I189+I190</f>
        <v>727</v>
      </c>
      <c r="J183" s="170">
        <f>J184+J185+J186+J187+J188+J189+J190</f>
        <v>75238.216</v>
      </c>
      <c r="K183" s="170">
        <f>K184+K185+K186+K187+K188+K189+K190</f>
        <v>0</v>
      </c>
      <c r="L183" s="99"/>
      <c r="M183" s="412" t="s">
        <v>89</v>
      </c>
    </row>
    <row r="184" spans="1:13" ht="27" customHeight="1" thickBot="1">
      <c r="A184" s="416"/>
      <c r="B184" s="588"/>
      <c r="C184" s="589"/>
      <c r="D184" s="123"/>
      <c r="E184" s="112">
        <f t="shared" si="15"/>
        <v>64776.86</v>
      </c>
      <c r="F184" s="110">
        <v>54731.8</v>
      </c>
      <c r="G184" s="171">
        <f>H184+I184</f>
        <v>0</v>
      </c>
      <c r="H184" s="109"/>
      <c r="I184" s="110"/>
      <c r="J184" s="110">
        <v>10045.06</v>
      </c>
      <c r="K184" s="180">
        <v>0</v>
      </c>
      <c r="L184" s="98" t="s">
        <v>12</v>
      </c>
      <c r="M184" s="596"/>
    </row>
    <row r="185" spans="1:13" ht="27" customHeight="1" thickBot="1">
      <c r="A185" s="416"/>
      <c r="B185" s="588"/>
      <c r="C185" s="589"/>
      <c r="D185" s="111"/>
      <c r="E185" s="112">
        <f t="shared" si="15"/>
        <v>20018.813</v>
      </c>
      <c r="F185" s="110"/>
      <c r="G185" s="329">
        <f aca="true" t="shared" si="16" ref="G185:G190">H185+I185</f>
        <v>0</v>
      </c>
      <c r="H185" s="95"/>
      <c r="I185" s="110"/>
      <c r="J185" s="110">
        <v>20018.813</v>
      </c>
      <c r="K185" s="181">
        <v>0</v>
      </c>
      <c r="L185" s="24" t="s">
        <v>41</v>
      </c>
      <c r="M185" s="596"/>
    </row>
    <row r="186" spans="1:13" ht="27" customHeight="1" thickBot="1">
      <c r="A186" s="416"/>
      <c r="B186" s="588"/>
      <c r="C186" s="589"/>
      <c r="D186" s="111"/>
      <c r="E186" s="112">
        <f t="shared" si="15"/>
        <v>13226.366</v>
      </c>
      <c r="F186" s="110"/>
      <c r="G186" s="329">
        <f t="shared" si="16"/>
        <v>0</v>
      </c>
      <c r="H186" s="95"/>
      <c r="I186" s="110"/>
      <c r="J186" s="110">
        <v>13226.366</v>
      </c>
      <c r="K186" s="181">
        <v>0</v>
      </c>
      <c r="L186" s="24" t="s">
        <v>42</v>
      </c>
      <c r="M186" s="596"/>
    </row>
    <row r="187" spans="1:13" ht="27" customHeight="1" thickBot="1">
      <c r="A187" s="416"/>
      <c r="B187" s="588"/>
      <c r="C187" s="589"/>
      <c r="D187" s="111"/>
      <c r="E187" s="112">
        <f t="shared" si="15"/>
        <v>77631.458</v>
      </c>
      <c r="F187" s="110">
        <v>69883.4</v>
      </c>
      <c r="G187" s="329">
        <f t="shared" si="16"/>
        <v>0</v>
      </c>
      <c r="H187" s="95"/>
      <c r="I187" s="110"/>
      <c r="J187" s="110">
        <v>7748.058</v>
      </c>
      <c r="K187" s="181">
        <v>0</v>
      </c>
      <c r="L187" s="24" t="s">
        <v>43</v>
      </c>
      <c r="M187" s="596"/>
    </row>
    <row r="188" spans="1:13" ht="27" customHeight="1" thickBot="1">
      <c r="A188" s="416"/>
      <c r="B188" s="588"/>
      <c r="C188" s="589"/>
      <c r="D188" s="111"/>
      <c r="E188" s="112">
        <f t="shared" si="15"/>
        <v>8225.922</v>
      </c>
      <c r="F188" s="332"/>
      <c r="G188" s="329">
        <f t="shared" si="16"/>
        <v>0</v>
      </c>
      <c r="H188" s="95"/>
      <c r="I188" s="110"/>
      <c r="J188" s="110">
        <v>8225.922</v>
      </c>
      <c r="K188" s="181">
        <v>0</v>
      </c>
      <c r="L188" s="24" t="s">
        <v>23</v>
      </c>
      <c r="M188" s="596"/>
    </row>
    <row r="189" spans="1:13" ht="27" customHeight="1" thickBot="1">
      <c r="A189" s="416"/>
      <c r="B189" s="588"/>
      <c r="C189" s="589"/>
      <c r="D189" s="111"/>
      <c r="E189" s="112">
        <f t="shared" si="15"/>
        <v>11386.085</v>
      </c>
      <c r="F189" s="331"/>
      <c r="G189" s="329">
        <f t="shared" si="16"/>
        <v>0</v>
      </c>
      <c r="H189" s="95"/>
      <c r="I189" s="110"/>
      <c r="J189" s="110">
        <v>11386.085</v>
      </c>
      <c r="K189" s="181">
        <v>0</v>
      </c>
      <c r="L189" s="24" t="s">
        <v>44</v>
      </c>
      <c r="M189" s="596"/>
    </row>
    <row r="190" spans="1:13" ht="41.25" customHeight="1" thickBot="1">
      <c r="A190" s="416"/>
      <c r="B190" s="590"/>
      <c r="C190" s="591"/>
      <c r="D190" s="111"/>
      <c r="E190" s="112">
        <f t="shared" si="15"/>
        <v>5314.912</v>
      </c>
      <c r="F190" s="330"/>
      <c r="G190" s="171">
        <f t="shared" si="16"/>
        <v>727</v>
      </c>
      <c r="H190" s="95">
        <v>0</v>
      </c>
      <c r="I190" s="97">
        <v>727</v>
      </c>
      <c r="J190" s="110">
        <f>5287.912-700</f>
        <v>4587.912</v>
      </c>
      <c r="K190" s="181">
        <v>0</v>
      </c>
      <c r="L190" s="24" t="s">
        <v>48</v>
      </c>
      <c r="M190" s="596"/>
    </row>
    <row r="191" spans="1:13" ht="58.5" customHeight="1" thickBot="1">
      <c r="A191" s="416" t="s">
        <v>123</v>
      </c>
      <c r="B191" s="586" t="s">
        <v>124</v>
      </c>
      <c r="C191" s="587"/>
      <c r="D191" s="70">
        <v>2017</v>
      </c>
      <c r="E191" s="112">
        <f t="shared" si="15"/>
        <v>16200</v>
      </c>
      <c r="F191" s="77"/>
      <c r="G191" s="77">
        <f>H191+I191</f>
        <v>0</v>
      </c>
      <c r="H191" s="77">
        <v>0</v>
      </c>
      <c r="I191" s="93">
        <v>0</v>
      </c>
      <c r="J191" s="173">
        <v>16200</v>
      </c>
      <c r="K191" s="182">
        <v>0</v>
      </c>
      <c r="L191" s="76" t="s">
        <v>53</v>
      </c>
      <c r="M191" s="596"/>
    </row>
    <row r="192" spans="1:13" ht="27" customHeight="1" hidden="1" thickBot="1">
      <c r="A192" s="416"/>
      <c r="B192" s="588"/>
      <c r="C192" s="589"/>
      <c r="D192" s="70"/>
      <c r="E192" s="112">
        <f>F192+G192+J192+K192</f>
        <v>0</v>
      </c>
      <c r="F192" s="68"/>
      <c r="G192" s="68"/>
      <c r="H192" s="68"/>
      <c r="I192" s="94"/>
      <c r="J192" s="172"/>
      <c r="K192" s="172"/>
      <c r="L192" s="24"/>
      <c r="M192" s="596"/>
    </row>
    <row r="193" spans="1:13" ht="27" customHeight="1" thickBot="1">
      <c r="A193" s="416"/>
      <c r="B193" s="588"/>
      <c r="C193" s="589"/>
      <c r="D193" s="407">
        <v>2018</v>
      </c>
      <c r="E193" s="112">
        <f>F193+G193+J193+K193</f>
        <v>199329.58099999998</v>
      </c>
      <c r="F193" s="94">
        <f>SUM(F194:F200)</f>
        <v>133648.69999999998</v>
      </c>
      <c r="G193" s="94">
        <f>H193+I193</f>
        <v>834.618</v>
      </c>
      <c r="H193" s="94">
        <f>H194+H195+H196+H197+H198+H199+H200</f>
        <v>0</v>
      </c>
      <c r="I193" s="343">
        <f>SUM(I194:I200)</f>
        <v>834.618</v>
      </c>
      <c r="J193" s="173">
        <f>J194+J195+J196+J197+J198+J199+J200</f>
        <v>64846.263</v>
      </c>
      <c r="K193" s="173">
        <v>0</v>
      </c>
      <c r="L193" s="24"/>
      <c r="M193" s="596"/>
    </row>
    <row r="194" spans="1:13" ht="27" customHeight="1" thickBot="1">
      <c r="A194" s="416"/>
      <c r="B194" s="588"/>
      <c r="C194" s="589"/>
      <c r="D194" s="408"/>
      <c r="E194" s="112">
        <f aca="true" t="shared" si="17" ref="E194:E200">F194+G194+J194+K194</f>
        <v>22727.706</v>
      </c>
      <c r="F194" s="95">
        <f>13666.243+401.723</f>
        <v>14067.966</v>
      </c>
      <c r="G194" s="94">
        <f>H194+I194</f>
        <v>0</v>
      </c>
      <c r="H194" s="342"/>
      <c r="I194" s="344"/>
      <c r="J194" s="96">
        <f>9852.084+390.21-2100+341.676+175.77</f>
        <v>8659.74</v>
      </c>
      <c r="K194" s="183">
        <v>0</v>
      </c>
      <c r="L194" s="24" t="s">
        <v>12</v>
      </c>
      <c r="M194" s="596"/>
    </row>
    <row r="195" spans="1:13" ht="27" customHeight="1" thickBot="1">
      <c r="A195" s="416"/>
      <c r="B195" s="588"/>
      <c r="C195" s="589"/>
      <c r="D195" s="408"/>
      <c r="E195" s="112">
        <f t="shared" si="17"/>
        <v>48757.922999999995</v>
      </c>
      <c r="F195" s="95">
        <f>29992.565+858.854</f>
        <v>30851.418999999998</v>
      </c>
      <c r="G195" s="94">
        <f aca="true" t="shared" si="18" ref="G195:G200">H195+I195</f>
        <v>0</v>
      </c>
      <c r="H195" s="342"/>
      <c r="I195" s="344"/>
      <c r="J195" s="96">
        <f>20130.966+919.02-4300+766.8+389.718</f>
        <v>17906.504</v>
      </c>
      <c r="K195" s="183">
        <v>0</v>
      </c>
      <c r="L195" s="24" t="s">
        <v>41</v>
      </c>
      <c r="M195" s="596"/>
    </row>
    <row r="196" spans="1:13" ht="27" customHeight="1" thickBot="1">
      <c r="A196" s="416"/>
      <c r="B196" s="588"/>
      <c r="C196" s="589"/>
      <c r="D196" s="408"/>
      <c r="E196" s="112">
        <f t="shared" si="17"/>
        <v>27009.476</v>
      </c>
      <c r="F196" s="95">
        <f>14985.192+401.723</f>
        <v>15386.914999999999</v>
      </c>
      <c r="G196" s="94">
        <f t="shared" si="18"/>
        <v>0</v>
      </c>
      <c r="H196" s="342"/>
      <c r="I196" s="344"/>
      <c r="J196" s="96">
        <f>13529.638+429.793-2900+367.83+195.3</f>
        <v>11622.561</v>
      </c>
      <c r="K196" s="183">
        <v>0</v>
      </c>
      <c r="L196" s="24" t="s">
        <v>42</v>
      </c>
      <c r="M196" s="596"/>
    </row>
    <row r="197" spans="1:13" ht="27" customHeight="1" thickBot="1">
      <c r="A197" s="416"/>
      <c r="B197" s="588"/>
      <c r="C197" s="589"/>
      <c r="D197" s="408"/>
      <c r="E197" s="112">
        <f t="shared" si="17"/>
        <v>40139.193</v>
      </c>
      <c r="F197" s="95">
        <f>30680.494+2764.647</f>
        <v>33445.140999999996</v>
      </c>
      <c r="G197" s="94">
        <f t="shared" si="18"/>
        <v>0</v>
      </c>
      <c r="H197" s="342"/>
      <c r="I197" s="344"/>
      <c r="J197" s="96">
        <f>8048.81-1700+345.242</f>
        <v>6694.052000000001</v>
      </c>
      <c r="K197" s="183">
        <v>0</v>
      </c>
      <c r="L197" s="24" t="s">
        <v>43</v>
      </c>
      <c r="M197" s="596"/>
    </row>
    <row r="198" spans="1:13" ht="27" customHeight="1" thickBot="1">
      <c r="A198" s="416"/>
      <c r="B198" s="588"/>
      <c r="C198" s="589"/>
      <c r="D198" s="408"/>
      <c r="E198" s="112">
        <f t="shared" si="17"/>
        <v>47125.918999999994</v>
      </c>
      <c r="F198" s="97">
        <f>39719.506+177.753</f>
        <v>39897.259</v>
      </c>
      <c r="G198" s="94">
        <f t="shared" si="18"/>
        <v>0</v>
      </c>
      <c r="H198" s="342"/>
      <c r="I198" s="344"/>
      <c r="J198" s="96">
        <f>8631.55-1800+397.11</f>
        <v>7228.659999999999</v>
      </c>
      <c r="K198" s="183">
        <v>0</v>
      </c>
      <c r="L198" s="24" t="s">
        <v>23</v>
      </c>
      <c r="M198" s="596"/>
    </row>
    <row r="199" spans="1:13" ht="27" customHeight="1" thickBot="1">
      <c r="A199" s="416"/>
      <c r="B199" s="588"/>
      <c r="C199" s="589"/>
      <c r="D199" s="408"/>
      <c r="E199" s="112">
        <f t="shared" si="17"/>
        <v>8764.582</v>
      </c>
      <c r="F199" s="94"/>
      <c r="G199" s="94">
        <f t="shared" si="18"/>
        <v>834.618</v>
      </c>
      <c r="H199" s="95">
        <v>0</v>
      </c>
      <c r="I199" s="109">
        <f>607.273+227.345</f>
        <v>834.618</v>
      </c>
      <c r="J199" s="96">
        <f>10509.141+105.556-2200-617.733+133</f>
        <v>7929.964</v>
      </c>
      <c r="K199" s="183">
        <v>0</v>
      </c>
      <c r="L199" s="24" t="s">
        <v>44</v>
      </c>
      <c r="M199" s="596"/>
    </row>
    <row r="200" spans="1:13" ht="42" customHeight="1" thickBot="1">
      <c r="A200" s="416"/>
      <c r="B200" s="588"/>
      <c r="C200" s="589"/>
      <c r="D200" s="409"/>
      <c r="E200" s="112">
        <f t="shared" si="17"/>
        <v>4804.782</v>
      </c>
      <c r="F200" s="94"/>
      <c r="G200" s="94">
        <f t="shared" si="18"/>
        <v>0</v>
      </c>
      <c r="H200" s="97"/>
      <c r="I200" s="97">
        <v>0</v>
      </c>
      <c r="J200" s="96">
        <f>4700.622+104.16</f>
        <v>4804.782</v>
      </c>
      <c r="K200" s="183">
        <v>0</v>
      </c>
      <c r="L200" s="24" t="s">
        <v>70</v>
      </c>
      <c r="M200" s="596"/>
    </row>
    <row r="201" spans="1:13" ht="27" customHeight="1" thickBot="1">
      <c r="A201" s="416"/>
      <c r="B201" s="588"/>
      <c r="C201" s="589"/>
      <c r="D201" s="407">
        <v>2019</v>
      </c>
      <c r="E201" s="68">
        <f>F201+G201+J201+K201</f>
        <v>210999.941</v>
      </c>
      <c r="F201" s="92">
        <f>SUM(F202:F208)</f>
        <v>129958</v>
      </c>
      <c r="G201" s="92">
        <f>H201+I201</f>
        <v>607.273</v>
      </c>
      <c r="H201" s="92">
        <f>H202+H203+H204+H205+H206+H207+H208</f>
        <v>0</v>
      </c>
      <c r="I201" s="92">
        <f>I202+I203+I204+I205+I206+I207+I208</f>
        <v>607.273</v>
      </c>
      <c r="J201" s="92">
        <f>J202+J203+J204+J205+J206+J207+J208</f>
        <v>80434.668</v>
      </c>
      <c r="K201" s="92">
        <v>0</v>
      </c>
      <c r="L201" s="24"/>
      <c r="M201" s="596"/>
    </row>
    <row r="202" spans="1:13" ht="27" customHeight="1" thickBot="1">
      <c r="A202" s="416"/>
      <c r="B202" s="588"/>
      <c r="C202" s="589"/>
      <c r="D202" s="408"/>
      <c r="E202" s="68">
        <f aca="true" t="shared" si="19" ref="E202:E208">F202+G202+J202+K202</f>
        <v>24510.524</v>
      </c>
      <c r="F202" s="95">
        <v>13666.243</v>
      </c>
      <c r="G202" s="174">
        <f aca="true" t="shared" si="20" ref="G202:G208">H202+I202</f>
        <v>0</v>
      </c>
      <c r="H202" s="95"/>
      <c r="I202" s="95"/>
      <c r="J202" s="96">
        <v>10844.281</v>
      </c>
      <c r="K202" s="183">
        <v>0</v>
      </c>
      <c r="L202" s="24" t="s">
        <v>12</v>
      </c>
      <c r="M202" s="596"/>
    </row>
    <row r="203" spans="1:13" ht="27" customHeight="1" thickBot="1">
      <c r="A203" s="416"/>
      <c r="B203" s="588"/>
      <c r="C203" s="589"/>
      <c r="D203" s="408"/>
      <c r="E203" s="68">
        <f t="shared" si="19"/>
        <v>51324.655</v>
      </c>
      <c r="F203" s="95">
        <v>29992.565</v>
      </c>
      <c r="G203" s="174">
        <f t="shared" si="20"/>
        <v>0</v>
      </c>
      <c r="H203" s="95"/>
      <c r="I203" s="95"/>
      <c r="J203" s="96">
        <v>21332.09</v>
      </c>
      <c r="K203" s="183">
        <v>0</v>
      </c>
      <c r="L203" s="24" t="s">
        <v>41</v>
      </c>
      <c r="M203" s="596"/>
    </row>
    <row r="204" spans="1:13" ht="27" customHeight="1" thickBot="1">
      <c r="A204" s="416"/>
      <c r="B204" s="588"/>
      <c r="C204" s="589"/>
      <c r="D204" s="408"/>
      <c r="E204" s="68">
        <f t="shared" si="19"/>
        <v>28792.769999999997</v>
      </c>
      <c r="F204" s="95">
        <v>14985.192</v>
      </c>
      <c r="G204" s="174">
        <f t="shared" si="20"/>
        <v>0</v>
      </c>
      <c r="H204" s="95"/>
      <c r="I204" s="95"/>
      <c r="J204" s="96">
        <v>13807.578</v>
      </c>
      <c r="K204" s="183">
        <v>0</v>
      </c>
      <c r="L204" s="24" t="s">
        <v>42</v>
      </c>
      <c r="M204" s="596"/>
    </row>
    <row r="205" spans="1:13" ht="27" customHeight="1" thickBot="1">
      <c r="A205" s="416"/>
      <c r="B205" s="588"/>
      <c r="C205" s="589"/>
      <c r="D205" s="408"/>
      <c r="E205" s="68">
        <f t="shared" si="19"/>
        <v>39300.4</v>
      </c>
      <c r="F205" s="95">
        <f>30680.494+407</f>
        <v>31087.494</v>
      </c>
      <c r="G205" s="174">
        <f t="shared" si="20"/>
        <v>0</v>
      </c>
      <c r="H205" s="95"/>
      <c r="I205" s="95"/>
      <c r="J205" s="96">
        <v>8212.906</v>
      </c>
      <c r="K205" s="183">
        <v>0</v>
      </c>
      <c r="L205" s="24" t="s">
        <v>43</v>
      </c>
      <c r="M205" s="596"/>
    </row>
    <row r="206" spans="1:13" ht="27" customHeight="1" thickBot="1">
      <c r="A206" s="416"/>
      <c r="B206" s="588"/>
      <c r="C206" s="589"/>
      <c r="D206" s="408"/>
      <c r="E206" s="68">
        <f t="shared" si="19"/>
        <v>49622.556</v>
      </c>
      <c r="F206" s="95">
        <f>39719.506+507</f>
        <v>40226.506</v>
      </c>
      <c r="G206" s="174">
        <f t="shared" si="20"/>
        <v>0</v>
      </c>
      <c r="H206" s="95"/>
      <c r="I206" s="95"/>
      <c r="J206" s="96">
        <v>9396.05</v>
      </c>
      <c r="K206" s="183">
        <v>0</v>
      </c>
      <c r="L206" s="24" t="s">
        <v>23</v>
      </c>
      <c r="M206" s="596"/>
    </row>
    <row r="207" spans="1:13" ht="27" customHeight="1" thickBot="1">
      <c r="A207" s="416"/>
      <c r="B207" s="588"/>
      <c r="C207" s="589"/>
      <c r="D207" s="408"/>
      <c r="E207" s="68">
        <f t="shared" si="19"/>
        <v>11548.413999999999</v>
      </c>
      <c r="F207" s="95">
        <v>0</v>
      </c>
      <c r="G207" s="174">
        <f t="shared" si="20"/>
        <v>607.273</v>
      </c>
      <c r="H207" s="95"/>
      <c r="I207" s="95">
        <v>607.273</v>
      </c>
      <c r="J207" s="96">
        <v>10941.141</v>
      </c>
      <c r="K207" s="183">
        <v>0</v>
      </c>
      <c r="L207" s="24" t="s">
        <v>44</v>
      </c>
      <c r="M207" s="596"/>
    </row>
    <row r="208" spans="1:13" ht="27" customHeight="1" thickBot="1">
      <c r="A208" s="416"/>
      <c r="B208" s="588"/>
      <c r="C208" s="589"/>
      <c r="D208" s="409"/>
      <c r="E208" s="68">
        <f t="shared" si="19"/>
        <v>5900.622</v>
      </c>
      <c r="F208" s="97">
        <v>0</v>
      </c>
      <c r="G208" s="174">
        <f t="shared" si="20"/>
        <v>0</v>
      </c>
      <c r="H208" s="97"/>
      <c r="I208" s="97"/>
      <c r="J208" s="97">
        <f>5900.622</f>
        <v>5900.622</v>
      </c>
      <c r="K208" s="183">
        <v>0</v>
      </c>
      <c r="L208" s="24" t="s">
        <v>70</v>
      </c>
      <c r="M208" s="596"/>
    </row>
    <row r="209" spans="1:13" ht="27" customHeight="1" thickBot="1">
      <c r="A209" s="416"/>
      <c r="B209" s="588"/>
      <c r="C209" s="589"/>
      <c r="D209" s="407">
        <v>2020</v>
      </c>
      <c r="E209" s="68">
        <f>F209+G209+J209+K209</f>
        <v>207168.084</v>
      </c>
      <c r="F209" s="94">
        <f>SUM(F210:F216)</f>
        <v>129958</v>
      </c>
      <c r="G209" s="94">
        <f>H209+I209</f>
        <v>607.273</v>
      </c>
      <c r="H209" s="94">
        <f>H210+H211+H212+H213+H214+H215+H216</f>
        <v>0</v>
      </c>
      <c r="I209" s="94">
        <f>I210+I211+I212+I213+I214+I215+I216</f>
        <v>607.273</v>
      </c>
      <c r="J209" s="94">
        <f>J210+J211+J212+J213+J214+J215+J216</f>
        <v>76602.811</v>
      </c>
      <c r="K209" s="184">
        <v>0</v>
      </c>
      <c r="L209" s="24"/>
      <c r="M209" s="596"/>
    </row>
    <row r="210" spans="1:13" ht="27" customHeight="1" thickBot="1">
      <c r="A210" s="416"/>
      <c r="B210" s="588"/>
      <c r="C210" s="589"/>
      <c r="D210" s="408"/>
      <c r="E210" s="68">
        <f aca="true" t="shared" si="21" ref="E210:E216">F210+G210+J210+K210</f>
        <v>23518.327</v>
      </c>
      <c r="F210" s="95">
        <v>13666.243</v>
      </c>
      <c r="G210" s="96">
        <f>H210+I210</f>
        <v>0</v>
      </c>
      <c r="H210" s="95"/>
      <c r="I210" s="95"/>
      <c r="J210" s="96">
        <f>9852.084</f>
        <v>9852.084</v>
      </c>
      <c r="K210" s="183">
        <v>0</v>
      </c>
      <c r="L210" s="24" t="s">
        <v>12</v>
      </c>
      <c r="M210" s="596"/>
    </row>
    <row r="211" spans="1:13" ht="27" customHeight="1" thickBot="1">
      <c r="A211" s="416"/>
      <c r="B211" s="588"/>
      <c r="C211" s="589"/>
      <c r="D211" s="408"/>
      <c r="E211" s="68">
        <f t="shared" si="21"/>
        <v>50123.531</v>
      </c>
      <c r="F211" s="95">
        <v>29992.565</v>
      </c>
      <c r="G211" s="96">
        <f aca="true" t="shared" si="22" ref="G211:G216">H211+I211</f>
        <v>0</v>
      </c>
      <c r="H211" s="95"/>
      <c r="I211" s="95"/>
      <c r="J211" s="96">
        <f>20130.966</f>
        <v>20130.966</v>
      </c>
      <c r="K211" s="183">
        <v>0</v>
      </c>
      <c r="L211" s="24" t="s">
        <v>41</v>
      </c>
      <c r="M211" s="596"/>
    </row>
    <row r="212" spans="1:13" ht="27" customHeight="1" thickBot="1">
      <c r="A212" s="416"/>
      <c r="B212" s="588"/>
      <c r="C212" s="589"/>
      <c r="D212" s="408"/>
      <c r="E212" s="68">
        <f t="shared" si="21"/>
        <v>28514.83</v>
      </c>
      <c r="F212" s="95">
        <v>14985.192</v>
      </c>
      <c r="G212" s="96">
        <f t="shared" si="22"/>
        <v>0</v>
      </c>
      <c r="H212" s="95"/>
      <c r="I212" s="95"/>
      <c r="J212" s="96">
        <f>13529.638</f>
        <v>13529.638</v>
      </c>
      <c r="K212" s="183">
        <v>0</v>
      </c>
      <c r="L212" s="24" t="s">
        <v>42</v>
      </c>
      <c r="M212" s="596"/>
    </row>
    <row r="213" spans="1:13" ht="27" customHeight="1" thickBot="1">
      <c r="A213" s="416"/>
      <c r="B213" s="588"/>
      <c r="C213" s="589"/>
      <c r="D213" s="408"/>
      <c r="E213" s="68">
        <f t="shared" si="21"/>
        <v>39136.304</v>
      </c>
      <c r="F213" s="95">
        <f>30680.494+407</f>
        <v>31087.494</v>
      </c>
      <c r="G213" s="96">
        <f t="shared" si="22"/>
        <v>0</v>
      </c>
      <c r="H213" s="95"/>
      <c r="I213" s="95"/>
      <c r="J213" s="96">
        <v>8048.81</v>
      </c>
      <c r="K213" s="183">
        <v>0</v>
      </c>
      <c r="L213" s="24" t="s">
        <v>43</v>
      </c>
      <c r="M213" s="596"/>
    </row>
    <row r="214" spans="1:13" ht="27" customHeight="1" thickBot="1">
      <c r="A214" s="416"/>
      <c r="B214" s="588"/>
      <c r="C214" s="589"/>
      <c r="D214" s="408"/>
      <c r="E214" s="68">
        <f t="shared" si="21"/>
        <v>48858.056</v>
      </c>
      <c r="F214" s="95">
        <f>39719.506+507</f>
        <v>40226.506</v>
      </c>
      <c r="G214" s="96">
        <f t="shared" si="22"/>
        <v>0</v>
      </c>
      <c r="H214" s="95"/>
      <c r="I214" s="95"/>
      <c r="J214" s="96">
        <v>8631.55</v>
      </c>
      <c r="K214" s="183">
        <v>0</v>
      </c>
      <c r="L214" s="24" t="s">
        <v>23</v>
      </c>
      <c r="M214" s="596"/>
    </row>
    <row r="215" spans="1:13" ht="27" customHeight="1" thickBot="1">
      <c r="A215" s="416"/>
      <c r="B215" s="588"/>
      <c r="C215" s="589"/>
      <c r="D215" s="408"/>
      <c r="E215" s="68">
        <f t="shared" si="21"/>
        <v>11116.413999999999</v>
      </c>
      <c r="F215" s="95">
        <v>0</v>
      </c>
      <c r="G215" s="355">
        <f t="shared" si="22"/>
        <v>607.273</v>
      </c>
      <c r="H215" s="95"/>
      <c r="I215" s="95">
        <v>607.273</v>
      </c>
      <c r="J215" s="355">
        <f>10509.141</f>
        <v>10509.141</v>
      </c>
      <c r="K215" s="183">
        <v>0</v>
      </c>
      <c r="L215" s="24" t="s">
        <v>44</v>
      </c>
      <c r="M215" s="596"/>
    </row>
    <row r="216" spans="1:13" ht="27" customHeight="1" thickBot="1">
      <c r="A216" s="416"/>
      <c r="B216" s="588"/>
      <c r="C216" s="589"/>
      <c r="D216" s="409"/>
      <c r="E216" s="357">
        <f t="shared" si="21"/>
        <v>5900.622</v>
      </c>
      <c r="F216" s="358">
        <v>0</v>
      </c>
      <c r="G216" s="359">
        <f t="shared" si="22"/>
        <v>0</v>
      </c>
      <c r="H216" s="358"/>
      <c r="I216" s="358"/>
      <c r="J216" s="358">
        <f>5900.622</f>
        <v>5900.622</v>
      </c>
      <c r="K216" s="183">
        <v>0</v>
      </c>
      <c r="L216" s="24" t="s">
        <v>70</v>
      </c>
      <c r="M216" s="596"/>
    </row>
    <row r="217" spans="1:13" ht="27" customHeight="1" thickBot="1">
      <c r="A217" s="416"/>
      <c r="B217" s="588"/>
      <c r="C217" s="589"/>
      <c r="D217" s="407">
        <v>2021</v>
      </c>
      <c r="E217" s="356">
        <f>F217+G217+J217+K217</f>
        <v>207168.084</v>
      </c>
      <c r="F217" s="94">
        <f>SUM(F218:F224)</f>
        <v>129958</v>
      </c>
      <c r="G217" s="94">
        <f>H217+I217</f>
        <v>607.273</v>
      </c>
      <c r="H217" s="94">
        <f>H218+H219+H220+H221+H222+H223+H224</f>
        <v>0</v>
      </c>
      <c r="I217" s="94">
        <f>I218+I219+I220+I221+I222+I223+I224</f>
        <v>607.273</v>
      </c>
      <c r="J217" s="94">
        <f>J218+J219+J220+J221+J222+J223+J224</f>
        <v>76602.811</v>
      </c>
      <c r="K217" s="184">
        <v>0</v>
      </c>
      <c r="L217" s="24"/>
      <c r="M217" s="596"/>
    </row>
    <row r="218" spans="1:13" ht="27" customHeight="1" thickBot="1">
      <c r="A218" s="416"/>
      <c r="B218" s="588"/>
      <c r="C218" s="589"/>
      <c r="D218" s="408"/>
      <c r="E218" s="68">
        <f aca="true" t="shared" si="23" ref="E218:E224">F218+G218+J218+K218</f>
        <v>23518.327</v>
      </c>
      <c r="F218" s="95">
        <v>13666.243</v>
      </c>
      <c r="G218" s="96">
        <f>H218+I218</f>
        <v>0</v>
      </c>
      <c r="H218" s="95"/>
      <c r="I218" s="95"/>
      <c r="J218" s="96">
        <f>9852.084</f>
        <v>9852.084</v>
      </c>
      <c r="K218" s="183">
        <v>0</v>
      </c>
      <c r="L218" s="24" t="s">
        <v>12</v>
      </c>
      <c r="M218" s="596"/>
    </row>
    <row r="219" spans="1:13" ht="27" customHeight="1" thickBot="1">
      <c r="A219" s="416"/>
      <c r="B219" s="588"/>
      <c r="C219" s="589"/>
      <c r="D219" s="408"/>
      <c r="E219" s="68">
        <f t="shared" si="23"/>
        <v>50123.531</v>
      </c>
      <c r="F219" s="95">
        <v>29992.565</v>
      </c>
      <c r="G219" s="96">
        <f aca="true" t="shared" si="24" ref="G219:G224">H219+I219</f>
        <v>0</v>
      </c>
      <c r="H219" s="95"/>
      <c r="I219" s="95"/>
      <c r="J219" s="96">
        <f>20130.966</f>
        <v>20130.966</v>
      </c>
      <c r="K219" s="183">
        <v>0</v>
      </c>
      <c r="L219" s="24" t="s">
        <v>41</v>
      </c>
      <c r="M219" s="596"/>
    </row>
    <row r="220" spans="1:13" ht="27" customHeight="1" thickBot="1">
      <c r="A220" s="416"/>
      <c r="B220" s="588"/>
      <c r="C220" s="589"/>
      <c r="D220" s="408"/>
      <c r="E220" s="68">
        <f t="shared" si="23"/>
        <v>28514.83</v>
      </c>
      <c r="F220" s="95">
        <v>14985.192</v>
      </c>
      <c r="G220" s="96">
        <f t="shared" si="24"/>
        <v>0</v>
      </c>
      <c r="H220" s="95"/>
      <c r="I220" s="95"/>
      <c r="J220" s="96">
        <f>13529.638</f>
        <v>13529.638</v>
      </c>
      <c r="K220" s="183">
        <v>0</v>
      </c>
      <c r="L220" s="24" t="s">
        <v>42</v>
      </c>
      <c r="M220" s="596"/>
    </row>
    <row r="221" spans="1:13" ht="27" customHeight="1" thickBot="1">
      <c r="A221" s="416"/>
      <c r="B221" s="588"/>
      <c r="C221" s="589"/>
      <c r="D221" s="408"/>
      <c r="E221" s="68">
        <f t="shared" si="23"/>
        <v>39136.304</v>
      </c>
      <c r="F221" s="95">
        <f>30680.494+407</f>
        <v>31087.494</v>
      </c>
      <c r="G221" s="96">
        <f t="shared" si="24"/>
        <v>0</v>
      </c>
      <c r="H221" s="95"/>
      <c r="I221" s="95"/>
      <c r="J221" s="96">
        <v>8048.81</v>
      </c>
      <c r="K221" s="183">
        <v>0</v>
      </c>
      <c r="L221" s="24" t="s">
        <v>43</v>
      </c>
      <c r="M221" s="596"/>
    </row>
    <row r="222" spans="1:13" ht="61.5" customHeight="1" thickBot="1">
      <c r="A222" s="416"/>
      <c r="B222" s="588"/>
      <c r="C222" s="589"/>
      <c r="D222" s="408"/>
      <c r="E222" s="68">
        <f t="shared" si="23"/>
        <v>48858.056</v>
      </c>
      <c r="F222" s="95">
        <f>39719.506+507</f>
        <v>40226.506</v>
      </c>
      <c r="G222" s="96">
        <f t="shared" si="24"/>
        <v>0</v>
      </c>
      <c r="H222" s="95"/>
      <c r="I222" s="95"/>
      <c r="J222" s="96">
        <v>8631.55</v>
      </c>
      <c r="K222" s="183">
        <v>0</v>
      </c>
      <c r="L222" s="24" t="s">
        <v>23</v>
      </c>
      <c r="M222" s="596"/>
    </row>
    <row r="223" spans="1:13" ht="59.25" customHeight="1" thickBot="1">
      <c r="A223" s="416"/>
      <c r="B223" s="588"/>
      <c r="C223" s="589"/>
      <c r="D223" s="408"/>
      <c r="E223" s="68">
        <f t="shared" si="23"/>
        <v>11116.413999999999</v>
      </c>
      <c r="F223" s="95">
        <v>0</v>
      </c>
      <c r="G223" s="96">
        <f t="shared" si="24"/>
        <v>607.273</v>
      </c>
      <c r="H223" s="95"/>
      <c r="I223" s="95">
        <v>607.273</v>
      </c>
      <c r="J223" s="96">
        <f>10509.141</f>
        <v>10509.141</v>
      </c>
      <c r="K223" s="183">
        <v>0</v>
      </c>
      <c r="L223" s="24" t="s">
        <v>44</v>
      </c>
      <c r="M223" s="596"/>
    </row>
    <row r="224" spans="1:13" ht="99" customHeight="1" thickBot="1">
      <c r="A224" s="416"/>
      <c r="B224" s="590"/>
      <c r="C224" s="591"/>
      <c r="D224" s="409"/>
      <c r="E224" s="68">
        <f t="shared" si="23"/>
        <v>5900.622</v>
      </c>
      <c r="F224" s="95">
        <v>0</v>
      </c>
      <c r="G224" s="96">
        <f t="shared" si="24"/>
        <v>0</v>
      </c>
      <c r="H224" s="95"/>
      <c r="I224" s="95"/>
      <c r="J224" s="95">
        <f>5900.622</f>
        <v>5900.622</v>
      </c>
      <c r="K224" s="183">
        <v>0</v>
      </c>
      <c r="L224" s="24" t="s">
        <v>70</v>
      </c>
      <c r="M224" s="597"/>
    </row>
    <row r="225" spans="1:13" ht="27" customHeight="1" thickBot="1">
      <c r="A225" s="436"/>
      <c r="B225" s="399" t="s">
        <v>52</v>
      </c>
      <c r="C225" s="400"/>
      <c r="D225" s="49">
        <v>2017</v>
      </c>
      <c r="E225" s="175">
        <f aca="true" t="shared" si="25" ref="E225:J225">E183+E191</f>
        <v>216780.416</v>
      </c>
      <c r="F225" s="175">
        <f t="shared" si="25"/>
        <v>124615.2</v>
      </c>
      <c r="G225" s="175">
        <f t="shared" si="25"/>
        <v>727</v>
      </c>
      <c r="H225" s="176">
        <f t="shared" si="25"/>
        <v>0</v>
      </c>
      <c r="I225" s="175">
        <f>I183+I191</f>
        <v>727</v>
      </c>
      <c r="J225" s="176">
        <f t="shared" si="25"/>
        <v>91438.216</v>
      </c>
      <c r="K225" s="175">
        <f>K191+K183+K175+K156+K155+K154+K153+K152+K151+K150+K132+K131</f>
        <v>0</v>
      </c>
      <c r="L225" s="13"/>
      <c r="M225" s="14"/>
    </row>
    <row r="226" spans="1:13" ht="27" customHeight="1" thickBot="1">
      <c r="A226" s="436"/>
      <c r="B226" s="401"/>
      <c r="C226" s="402"/>
      <c r="D226" s="49">
        <v>2018</v>
      </c>
      <c r="E226" s="176">
        <f aca="true" t="shared" si="26" ref="E226:K226">E193</f>
        <v>199329.58099999998</v>
      </c>
      <c r="F226" s="176">
        <f t="shared" si="26"/>
        <v>133648.69999999998</v>
      </c>
      <c r="G226" s="176">
        <f t="shared" si="26"/>
        <v>834.618</v>
      </c>
      <c r="H226" s="175">
        <f t="shared" si="26"/>
        <v>0</v>
      </c>
      <c r="I226" s="176">
        <f t="shared" si="26"/>
        <v>834.618</v>
      </c>
      <c r="J226" s="175">
        <f t="shared" si="26"/>
        <v>64846.263</v>
      </c>
      <c r="K226" s="175">
        <f t="shared" si="26"/>
        <v>0</v>
      </c>
      <c r="L226" s="13"/>
      <c r="M226" s="14"/>
    </row>
    <row r="227" spans="1:13" ht="27" customHeight="1" thickBot="1">
      <c r="A227" s="436"/>
      <c r="B227" s="401"/>
      <c r="C227" s="402"/>
      <c r="D227" s="49">
        <v>2019</v>
      </c>
      <c r="E227" s="176">
        <f aca="true" t="shared" si="27" ref="E227:K227">E201</f>
        <v>210999.941</v>
      </c>
      <c r="F227" s="175">
        <f>F201</f>
        <v>129958</v>
      </c>
      <c r="G227" s="176">
        <f t="shared" si="27"/>
        <v>607.273</v>
      </c>
      <c r="H227" s="177">
        <f t="shared" si="27"/>
        <v>0</v>
      </c>
      <c r="I227" s="176">
        <f t="shared" si="27"/>
        <v>607.273</v>
      </c>
      <c r="J227" s="177">
        <f t="shared" si="27"/>
        <v>80434.668</v>
      </c>
      <c r="K227" s="177">
        <f t="shared" si="27"/>
        <v>0</v>
      </c>
      <c r="L227" s="13"/>
      <c r="M227" s="14"/>
    </row>
    <row r="228" spans="1:13" ht="27" customHeight="1" thickBot="1">
      <c r="A228" s="436"/>
      <c r="B228" s="401"/>
      <c r="C228" s="402"/>
      <c r="D228" s="49">
        <v>2020</v>
      </c>
      <c r="E228" s="176">
        <v>207168.084</v>
      </c>
      <c r="F228" s="175">
        <v>129958</v>
      </c>
      <c r="G228" s="176">
        <v>607.273</v>
      </c>
      <c r="H228" s="175">
        <v>0</v>
      </c>
      <c r="I228" s="176">
        <v>607.273</v>
      </c>
      <c r="J228" s="175">
        <v>76602.811</v>
      </c>
      <c r="K228" s="175">
        <v>0</v>
      </c>
      <c r="L228" s="13"/>
      <c r="M228" s="14"/>
    </row>
    <row r="229" spans="1:13" ht="27" customHeight="1" thickBot="1">
      <c r="A229" s="436"/>
      <c r="B229" s="403"/>
      <c r="C229" s="404"/>
      <c r="D229" s="49">
        <v>2021</v>
      </c>
      <c r="E229" s="176">
        <f aca="true" t="shared" si="28" ref="E229:K229">E217</f>
        <v>207168.084</v>
      </c>
      <c r="F229" s="175">
        <f t="shared" si="28"/>
        <v>129958</v>
      </c>
      <c r="G229" s="176">
        <f t="shared" si="28"/>
        <v>607.273</v>
      </c>
      <c r="H229" s="175">
        <f t="shared" si="28"/>
        <v>0</v>
      </c>
      <c r="I229" s="176">
        <f t="shared" si="28"/>
        <v>607.273</v>
      </c>
      <c r="J229" s="175">
        <f t="shared" si="28"/>
        <v>76602.811</v>
      </c>
      <c r="K229" s="175">
        <f t="shared" si="28"/>
        <v>0</v>
      </c>
      <c r="L229" s="13"/>
      <c r="M229" s="14"/>
    </row>
    <row r="230" spans="1:13" ht="27" customHeight="1" thickBot="1">
      <c r="A230" s="118"/>
      <c r="B230" s="427" t="s">
        <v>74</v>
      </c>
      <c r="C230" s="428"/>
      <c r="D230" s="428"/>
      <c r="E230" s="428"/>
      <c r="F230" s="428"/>
      <c r="G230" s="428"/>
      <c r="H230" s="428"/>
      <c r="I230" s="428"/>
      <c r="J230" s="428"/>
      <c r="K230" s="428"/>
      <c r="L230" s="428"/>
      <c r="M230" s="429"/>
    </row>
    <row r="231" spans="1:13" ht="27" customHeight="1" thickBot="1">
      <c r="A231" s="118"/>
      <c r="B231" s="363" t="s">
        <v>84</v>
      </c>
      <c r="C231" s="364"/>
      <c r="D231" s="364"/>
      <c r="E231" s="364"/>
      <c r="F231" s="364"/>
      <c r="G231" s="364"/>
      <c r="H231" s="364"/>
      <c r="I231" s="364"/>
      <c r="J231" s="364"/>
      <c r="K231" s="364"/>
      <c r="L231" s="364"/>
      <c r="M231" s="365"/>
    </row>
    <row r="232" spans="1:13" ht="27" customHeight="1" thickBot="1">
      <c r="A232" s="118"/>
      <c r="B232" s="363" t="s">
        <v>30</v>
      </c>
      <c r="C232" s="364"/>
      <c r="D232" s="364"/>
      <c r="E232" s="364"/>
      <c r="F232" s="411"/>
      <c r="G232" s="411"/>
      <c r="H232" s="411"/>
      <c r="I232" s="364"/>
      <c r="J232" s="364"/>
      <c r="K232" s="364"/>
      <c r="L232" s="364"/>
      <c r="M232" s="365"/>
    </row>
    <row r="233" spans="1:13" ht="63" customHeight="1" thickBot="1">
      <c r="A233" s="416" t="s">
        <v>125</v>
      </c>
      <c r="B233" s="421" t="s">
        <v>126</v>
      </c>
      <c r="C233" s="422"/>
      <c r="D233" s="51">
        <v>2017</v>
      </c>
      <c r="E233" s="158">
        <f>F233+G233+J233+K233</f>
        <v>7260.311</v>
      </c>
      <c r="F233" s="97"/>
      <c r="G233" s="97">
        <f>H233+I233</f>
        <v>0</v>
      </c>
      <c r="H233" s="57">
        <v>0</v>
      </c>
      <c r="I233" s="157">
        <v>0</v>
      </c>
      <c r="J233" s="157">
        <v>7260.311</v>
      </c>
      <c r="K233" s="178">
        <v>0</v>
      </c>
      <c r="L233" s="5" t="s">
        <v>29</v>
      </c>
      <c r="M233" s="366" t="s">
        <v>90</v>
      </c>
    </row>
    <row r="234" spans="1:13" ht="61.5" customHeight="1" thickBot="1">
      <c r="A234" s="416"/>
      <c r="B234" s="423"/>
      <c r="C234" s="424"/>
      <c r="D234" s="51">
        <v>2018</v>
      </c>
      <c r="E234" s="158">
        <f>F234+G234+J234+K234</f>
        <v>8213.1695</v>
      </c>
      <c r="F234" s="97"/>
      <c r="G234" s="97">
        <f>H234+I234</f>
        <v>0</v>
      </c>
      <c r="H234" s="161">
        <v>0</v>
      </c>
      <c r="I234" s="159">
        <v>0</v>
      </c>
      <c r="J234" s="159">
        <v>8213.1695</v>
      </c>
      <c r="K234" s="178">
        <v>0</v>
      </c>
      <c r="L234" s="5" t="s">
        <v>29</v>
      </c>
      <c r="M234" s="367"/>
    </row>
    <row r="235" spans="1:13" ht="54" customHeight="1" thickBot="1">
      <c r="A235" s="416"/>
      <c r="B235" s="423"/>
      <c r="C235" s="424"/>
      <c r="D235" s="51">
        <v>2019</v>
      </c>
      <c r="E235" s="158">
        <f>F235+G235+J235+K235</f>
        <v>7904.433</v>
      </c>
      <c r="F235" s="97"/>
      <c r="G235" s="97">
        <f>H235+I235</f>
        <v>0</v>
      </c>
      <c r="H235" s="57">
        <v>0</v>
      </c>
      <c r="I235" s="159">
        <v>0</v>
      </c>
      <c r="J235" s="159">
        <f>7603.533+300.9</f>
        <v>7904.433</v>
      </c>
      <c r="K235" s="178">
        <v>0</v>
      </c>
      <c r="L235" s="5" t="s">
        <v>29</v>
      </c>
      <c r="M235" s="367"/>
    </row>
    <row r="236" spans="1:13" ht="54" customHeight="1" thickBot="1">
      <c r="A236" s="416"/>
      <c r="B236" s="423"/>
      <c r="C236" s="424"/>
      <c r="D236" s="51">
        <v>2020</v>
      </c>
      <c r="E236" s="158">
        <f>F236+G236+J236+K236</f>
        <v>7603.534</v>
      </c>
      <c r="F236" s="97"/>
      <c r="G236" s="97">
        <f>H236+I236</f>
        <v>0</v>
      </c>
      <c r="H236" s="160">
        <v>0</v>
      </c>
      <c r="I236" s="159">
        <v>0</v>
      </c>
      <c r="J236" s="159">
        <v>7603.534</v>
      </c>
      <c r="K236" s="178">
        <v>0</v>
      </c>
      <c r="L236" s="5" t="s">
        <v>29</v>
      </c>
      <c r="M236" s="367"/>
    </row>
    <row r="237" spans="1:13" ht="58.5" customHeight="1" thickBot="1">
      <c r="A237" s="416"/>
      <c r="B237" s="425"/>
      <c r="C237" s="426"/>
      <c r="D237" s="51">
        <v>2021</v>
      </c>
      <c r="E237" s="158">
        <f>F237+G237+J237+K237</f>
        <v>7603.534</v>
      </c>
      <c r="F237" s="97"/>
      <c r="G237" s="97">
        <f>H237+I237</f>
        <v>0</v>
      </c>
      <c r="H237" s="160">
        <v>0</v>
      </c>
      <c r="I237" s="159">
        <v>0</v>
      </c>
      <c r="J237" s="159">
        <v>7603.534</v>
      </c>
      <c r="K237" s="178">
        <v>0</v>
      </c>
      <c r="L237" s="5" t="s">
        <v>29</v>
      </c>
      <c r="M237" s="368"/>
    </row>
    <row r="238" spans="1:13" ht="27" customHeight="1" thickBot="1">
      <c r="A238" s="118"/>
      <c r="B238" s="417" t="s">
        <v>25</v>
      </c>
      <c r="C238" s="418"/>
      <c r="D238" s="418"/>
      <c r="E238" s="418"/>
      <c r="F238" s="419"/>
      <c r="G238" s="419"/>
      <c r="H238" s="419"/>
      <c r="I238" s="418"/>
      <c r="J238" s="418"/>
      <c r="K238" s="418"/>
      <c r="L238" s="418"/>
      <c r="M238" s="420"/>
    </row>
    <row r="239" spans="1:13" ht="27" customHeight="1" thickBot="1">
      <c r="A239" s="118"/>
      <c r="B239" s="363" t="s">
        <v>31</v>
      </c>
      <c r="C239" s="364"/>
      <c r="D239" s="364"/>
      <c r="E239" s="364"/>
      <c r="F239" s="364"/>
      <c r="G239" s="364"/>
      <c r="H239" s="364"/>
      <c r="I239" s="364"/>
      <c r="J239" s="364"/>
      <c r="K239" s="364"/>
      <c r="L239" s="364"/>
      <c r="M239" s="365"/>
    </row>
    <row r="240" spans="1:13" ht="27" customHeight="1" thickBot="1">
      <c r="A240" s="118"/>
      <c r="B240" s="363" t="s">
        <v>32</v>
      </c>
      <c r="C240" s="364"/>
      <c r="D240" s="364"/>
      <c r="E240" s="364"/>
      <c r="F240" s="364"/>
      <c r="G240" s="364"/>
      <c r="H240" s="364"/>
      <c r="I240" s="364"/>
      <c r="J240" s="364"/>
      <c r="K240" s="364"/>
      <c r="L240" s="364"/>
      <c r="M240" s="365"/>
    </row>
    <row r="241" spans="1:13" ht="46.5" customHeight="1" thickBot="1">
      <c r="A241" s="416" t="s">
        <v>127</v>
      </c>
      <c r="B241" s="369" t="s">
        <v>128</v>
      </c>
      <c r="C241" s="405"/>
      <c r="D241" s="52">
        <v>2017</v>
      </c>
      <c r="E241" s="113">
        <f aca="true" t="shared" si="29" ref="E241:E256">F241+G241+J241+K241</f>
        <v>292.4</v>
      </c>
      <c r="F241" s="114">
        <v>292.4</v>
      </c>
      <c r="G241" s="114">
        <f>H241+I241</f>
        <v>0</v>
      </c>
      <c r="H241" s="114"/>
      <c r="I241" s="114">
        <v>0</v>
      </c>
      <c r="J241" s="181">
        <v>0</v>
      </c>
      <c r="K241" s="181">
        <v>0</v>
      </c>
      <c r="L241" s="24" t="s">
        <v>4</v>
      </c>
      <c r="M241" s="366" t="s">
        <v>75</v>
      </c>
    </row>
    <row r="242" spans="1:13" ht="36" customHeight="1" thickBot="1">
      <c r="A242" s="416"/>
      <c r="B242" s="371"/>
      <c r="C242" s="437"/>
      <c r="D242" s="52">
        <v>2018</v>
      </c>
      <c r="E242" s="113">
        <f t="shared" si="29"/>
        <v>315.2</v>
      </c>
      <c r="F242" s="114">
        <v>315.2</v>
      </c>
      <c r="G242" s="114">
        <f aca="true" t="shared" si="30" ref="G242:G255">H242+I242</f>
        <v>0</v>
      </c>
      <c r="H242" s="114"/>
      <c r="I242" s="114">
        <v>0</v>
      </c>
      <c r="J242" s="181">
        <v>0</v>
      </c>
      <c r="K242" s="181">
        <v>0</v>
      </c>
      <c r="L242" s="24" t="s">
        <v>4</v>
      </c>
      <c r="M242" s="592"/>
    </row>
    <row r="243" spans="1:13" ht="39" customHeight="1" thickBot="1">
      <c r="A243" s="416"/>
      <c r="B243" s="371"/>
      <c r="C243" s="437"/>
      <c r="D243" s="52">
        <v>2019</v>
      </c>
      <c r="E243" s="113">
        <f t="shared" si="29"/>
        <v>315.2</v>
      </c>
      <c r="F243" s="114">
        <v>315.2</v>
      </c>
      <c r="G243" s="114">
        <f t="shared" si="30"/>
        <v>0</v>
      </c>
      <c r="H243" s="114"/>
      <c r="I243" s="114">
        <v>0</v>
      </c>
      <c r="J243" s="181">
        <v>0</v>
      </c>
      <c r="K243" s="181">
        <v>0</v>
      </c>
      <c r="L243" s="24" t="s">
        <v>4</v>
      </c>
      <c r="M243" s="592"/>
    </row>
    <row r="244" spans="1:13" ht="39" customHeight="1" thickBot="1">
      <c r="A244" s="416"/>
      <c r="B244" s="371"/>
      <c r="C244" s="437"/>
      <c r="D244" s="52">
        <v>2020</v>
      </c>
      <c r="E244" s="113">
        <f>F244+G244+J244+K244</f>
        <v>315.2</v>
      </c>
      <c r="F244" s="114">
        <v>315.2</v>
      </c>
      <c r="G244" s="114">
        <f>H244+I244</f>
        <v>0</v>
      </c>
      <c r="H244" s="114"/>
      <c r="I244" s="114">
        <v>0</v>
      </c>
      <c r="J244" s="181">
        <v>0</v>
      </c>
      <c r="K244" s="181">
        <v>0</v>
      </c>
      <c r="L244" s="24" t="s">
        <v>4</v>
      </c>
      <c r="M244" s="592"/>
    </row>
    <row r="245" spans="1:13" ht="44.25" customHeight="1" thickBot="1">
      <c r="A245" s="416"/>
      <c r="B245" s="372"/>
      <c r="C245" s="406"/>
      <c r="D245" s="52">
        <v>2021</v>
      </c>
      <c r="E245" s="113">
        <f t="shared" si="29"/>
        <v>315.2</v>
      </c>
      <c r="F245" s="114">
        <v>315.2</v>
      </c>
      <c r="G245" s="114">
        <f t="shared" si="30"/>
        <v>0</v>
      </c>
      <c r="H245" s="114"/>
      <c r="I245" s="114">
        <v>0</v>
      </c>
      <c r="J245" s="181">
        <v>0</v>
      </c>
      <c r="K245" s="181">
        <v>0</v>
      </c>
      <c r="L245" s="24" t="s">
        <v>4</v>
      </c>
      <c r="M245" s="593"/>
    </row>
    <row r="246" spans="1:13" ht="27.75" customHeight="1" thickBot="1">
      <c r="A246" s="416" t="s">
        <v>129</v>
      </c>
      <c r="B246" s="369" t="s">
        <v>130</v>
      </c>
      <c r="C246" s="405"/>
      <c r="D246" s="52">
        <v>2017</v>
      </c>
      <c r="E246" s="113">
        <f t="shared" si="29"/>
        <v>96.8</v>
      </c>
      <c r="F246" s="114"/>
      <c r="G246" s="114">
        <f t="shared" si="30"/>
        <v>96.8</v>
      </c>
      <c r="H246" s="114"/>
      <c r="I246" s="114">
        <v>96.8</v>
      </c>
      <c r="J246" s="181">
        <v>0</v>
      </c>
      <c r="K246" s="181">
        <v>0</v>
      </c>
      <c r="L246" s="24" t="s">
        <v>4</v>
      </c>
      <c r="M246" s="366" t="s">
        <v>76</v>
      </c>
    </row>
    <row r="247" spans="1:13" ht="42.75" customHeight="1" thickBot="1">
      <c r="A247" s="416"/>
      <c r="B247" s="371"/>
      <c r="C247" s="437"/>
      <c r="D247" s="52">
        <v>2018</v>
      </c>
      <c r="E247" s="113">
        <f t="shared" si="29"/>
        <v>113</v>
      </c>
      <c r="F247" s="114"/>
      <c r="G247" s="114">
        <f t="shared" si="30"/>
        <v>113</v>
      </c>
      <c r="H247" s="114"/>
      <c r="I247" s="114">
        <v>113</v>
      </c>
      <c r="J247" s="181">
        <v>0</v>
      </c>
      <c r="K247" s="181">
        <v>0</v>
      </c>
      <c r="L247" s="24" t="s">
        <v>4</v>
      </c>
      <c r="M247" s="367"/>
    </row>
    <row r="248" spans="1:13" ht="44.25" customHeight="1" thickBot="1">
      <c r="A248" s="416"/>
      <c r="B248" s="371"/>
      <c r="C248" s="437"/>
      <c r="D248" s="52">
        <v>2019</v>
      </c>
      <c r="E248" s="113">
        <f t="shared" si="29"/>
        <v>113</v>
      </c>
      <c r="F248" s="115"/>
      <c r="G248" s="114">
        <f t="shared" si="30"/>
        <v>113</v>
      </c>
      <c r="H248" s="116"/>
      <c r="I248" s="116">
        <v>113</v>
      </c>
      <c r="J248" s="181">
        <v>0</v>
      </c>
      <c r="K248" s="181">
        <v>0</v>
      </c>
      <c r="L248" s="24" t="s">
        <v>4</v>
      </c>
      <c r="M248" s="367"/>
    </row>
    <row r="249" spans="1:13" ht="44.25" customHeight="1" thickBot="1">
      <c r="A249" s="416"/>
      <c r="B249" s="371"/>
      <c r="C249" s="437"/>
      <c r="D249" s="52">
        <v>2020</v>
      </c>
      <c r="E249" s="113">
        <f>F249+G249+J249+K249</f>
        <v>113</v>
      </c>
      <c r="F249" s="115"/>
      <c r="G249" s="114">
        <f>H249+I249</f>
        <v>113</v>
      </c>
      <c r="H249" s="116"/>
      <c r="I249" s="116">
        <v>113</v>
      </c>
      <c r="J249" s="181">
        <v>0</v>
      </c>
      <c r="K249" s="181">
        <v>0</v>
      </c>
      <c r="L249" s="24" t="s">
        <v>4</v>
      </c>
      <c r="M249" s="367"/>
    </row>
    <row r="250" spans="1:13" ht="47.25" customHeight="1" thickBot="1">
      <c r="A250" s="416"/>
      <c r="B250" s="372"/>
      <c r="C250" s="406"/>
      <c r="D250" s="52">
        <v>2021</v>
      </c>
      <c r="E250" s="113">
        <f t="shared" si="29"/>
        <v>113</v>
      </c>
      <c r="F250" s="115"/>
      <c r="G250" s="114">
        <f t="shared" si="30"/>
        <v>113</v>
      </c>
      <c r="H250" s="116"/>
      <c r="I250" s="116">
        <v>113</v>
      </c>
      <c r="J250" s="181">
        <v>0</v>
      </c>
      <c r="K250" s="181">
        <v>0</v>
      </c>
      <c r="L250" s="24" t="s">
        <v>4</v>
      </c>
      <c r="M250" s="368"/>
    </row>
    <row r="251" spans="1:13" ht="47.25" customHeight="1" thickBot="1">
      <c r="A251" s="416" t="s">
        <v>131</v>
      </c>
      <c r="B251" s="369" t="s">
        <v>132</v>
      </c>
      <c r="C251" s="405"/>
      <c r="D251" s="52">
        <v>2017</v>
      </c>
      <c r="E251" s="113">
        <f t="shared" si="29"/>
        <v>5391.1</v>
      </c>
      <c r="F251" s="115">
        <v>5391.1</v>
      </c>
      <c r="G251" s="114">
        <f t="shared" si="30"/>
        <v>0</v>
      </c>
      <c r="H251" s="116"/>
      <c r="I251" s="115">
        <v>0</v>
      </c>
      <c r="J251" s="181">
        <v>0</v>
      </c>
      <c r="K251" s="181">
        <v>0</v>
      </c>
      <c r="L251" s="24" t="s">
        <v>4</v>
      </c>
      <c r="M251" s="366" t="s">
        <v>77</v>
      </c>
    </row>
    <row r="252" spans="1:13" ht="42.75" customHeight="1" thickBot="1">
      <c r="A252" s="416"/>
      <c r="B252" s="371"/>
      <c r="C252" s="437"/>
      <c r="D252" s="52">
        <v>2018</v>
      </c>
      <c r="E252" s="113">
        <f t="shared" si="29"/>
        <v>5671.6</v>
      </c>
      <c r="F252" s="115">
        <v>5671.6</v>
      </c>
      <c r="G252" s="114">
        <f t="shared" si="30"/>
        <v>0</v>
      </c>
      <c r="H252" s="116"/>
      <c r="I252" s="115">
        <v>0</v>
      </c>
      <c r="J252" s="181">
        <v>0</v>
      </c>
      <c r="K252" s="181">
        <v>0</v>
      </c>
      <c r="L252" s="24" t="s">
        <v>4</v>
      </c>
      <c r="M252" s="367"/>
    </row>
    <row r="253" spans="1:13" ht="46.5" customHeight="1" thickBot="1">
      <c r="A253" s="416"/>
      <c r="B253" s="371"/>
      <c r="C253" s="437"/>
      <c r="D253" s="52">
        <v>2019</v>
      </c>
      <c r="E253" s="113">
        <f t="shared" si="29"/>
        <v>5671.6</v>
      </c>
      <c r="F253" s="115">
        <v>5671.6</v>
      </c>
      <c r="G253" s="114">
        <f t="shared" si="30"/>
        <v>0</v>
      </c>
      <c r="H253" s="115"/>
      <c r="I253" s="115">
        <v>0</v>
      </c>
      <c r="J253" s="181">
        <v>0</v>
      </c>
      <c r="K253" s="181">
        <v>0</v>
      </c>
      <c r="L253" s="24" t="s">
        <v>4</v>
      </c>
      <c r="M253" s="367"/>
    </row>
    <row r="254" spans="1:13" ht="46.5" customHeight="1" thickBot="1">
      <c r="A254" s="416"/>
      <c r="B254" s="371"/>
      <c r="C254" s="437"/>
      <c r="D254" s="52">
        <v>2020</v>
      </c>
      <c r="E254" s="114">
        <f>F254+G254+J254+K254</f>
        <v>5671.6</v>
      </c>
      <c r="F254" s="115">
        <v>5671.6</v>
      </c>
      <c r="G254" s="114">
        <f>H254+I254</f>
        <v>0</v>
      </c>
      <c r="H254" s="115"/>
      <c r="I254" s="115">
        <v>0</v>
      </c>
      <c r="J254" s="181">
        <v>0</v>
      </c>
      <c r="K254" s="181">
        <v>0</v>
      </c>
      <c r="L254" s="24" t="s">
        <v>4</v>
      </c>
      <c r="M254" s="367"/>
    </row>
    <row r="255" spans="1:13" ht="46.5" customHeight="1" thickBot="1">
      <c r="A255" s="416"/>
      <c r="B255" s="372"/>
      <c r="C255" s="406"/>
      <c r="D255" s="52">
        <v>2021</v>
      </c>
      <c r="E255" s="114">
        <f t="shared" si="29"/>
        <v>5671.6</v>
      </c>
      <c r="F255" s="115">
        <v>5671.6</v>
      </c>
      <c r="G255" s="114">
        <f t="shared" si="30"/>
        <v>0</v>
      </c>
      <c r="H255" s="115"/>
      <c r="I255" s="115">
        <v>0</v>
      </c>
      <c r="J255" s="181">
        <v>0</v>
      </c>
      <c r="K255" s="181">
        <v>0</v>
      </c>
      <c r="L255" s="24" t="s">
        <v>4</v>
      </c>
      <c r="M255" s="368"/>
    </row>
    <row r="256" spans="1:13" ht="30.75" customHeight="1" thickBot="1">
      <c r="A256" s="436"/>
      <c r="B256" s="389" t="s">
        <v>45</v>
      </c>
      <c r="C256" s="390"/>
      <c r="D256" s="52">
        <v>2017</v>
      </c>
      <c r="E256" s="78">
        <f t="shared" si="29"/>
        <v>5780.3</v>
      </c>
      <c r="F256" s="78">
        <f>F241+F246+F251</f>
        <v>5683.5</v>
      </c>
      <c r="G256" s="78">
        <f>H256+I256</f>
        <v>96.8</v>
      </c>
      <c r="H256" s="78">
        <f aca="true" t="shared" si="31" ref="H256:I260">H241+H246+H251</f>
        <v>0</v>
      </c>
      <c r="I256" s="54">
        <f t="shared" si="31"/>
        <v>96.8</v>
      </c>
      <c r="J256" s="185">
        <v>0</v>
      </c>
      <c r="K256" s="185">
        <v>0</v>
      </c>
      <c r="L256" s="24"/>
      <c r="M256" s="3"/>
    </row>
    <row r="257" spans="1:13" ht="30.75" customHeight="1" thickBot="1">
      <c r="A257" s="436"/>
      <c r="B257" s="391"/>
      <c r="C257" s="392"/>
      <c r="D257" s="52">
        <v>2018</v>
      </c>
      <c r="E257" s="78">
        <f aca="true" t="shared" si="32" ref="E257:E266">F257+G257+J257+K257</f>
        <v>6099.8</v>
      </c>
      <c r="F257" s="78">
        <f>F242+F247+F252</f>
        <v>5986.8</v>
      </c>
      <c r="G257" s="78">
        <f>H257+I257</f>
        <v>113</v>
      </c>
      <c r="H257" s="62">
        <f t="shared" si="31"/>
        <v>0</v>
      </c>
      <c r="I257" s="54">
        <f t="shared" si="31"/>
        <v>113</v>
      </c>
      <c r="J257" s="185">
        <v>0</v>
      </c>
      <c r="K257" s="185">
        <v>0</v>
      </c>
      <c r="L257" s="24"/>
      <c r="M257" s="3"/>
    </row>
    <row r="258" spans="1:13" ht="30.75" customHeight="1" thickBot="1">
      <c r="A258" s="436"/>
      <c r="B258" s="391"/>
      <c r="C258" s="392"/>
      <c r="D258" s="52">
        <v>2019</v>
      </c>
      <c r="E258" s="78">
        <f t="shared" si="32"/>
        <v>6099.8</v>
      </c>
      <c r="F258" s="78">
        <f>F243+F248+F253</f>
        <v>5986.8</v>
      </c>
      <c r="G258" s="78">
        <f>H258+I258</f>
        <v>113</v>
      </c>
      <c r="H258" s="62">
        <f t="shared" si="31"/>
        <v>0</v>
      </c>
      <c r="I258" s="54">
        <f t="shared" si="31"/>
        <v>113</v>
      </c>
      <c r="J258" s="185">
        <v>0</v>
      </c>
      <c r="K258" s="185">
        <v>0</v>
      </c>
      <c r="L258" s="24"/>
      <c r="M258" s="3"/>
    </row>
    <row r="259" spans="1:13" ht="30.75" customHeight="1" thickBot="1">
      <c r="A259" s="436"/>
      <c r="B259" s="391"/>
      <c r="C259" s="392"/>
      <c r="D259" s="52">
        <v>2020</v>
      </c>
      <c r="E259" s="78">
        <f>F259+G259+J259+K259</f>
        <v>6099.8</v>
      </c>
      <c r="F259" s="78">
        <f>F244+F249+F254</f>
        <v>5986.8</v>
      </c>
      <c r="G259" s="78">
        <f>H259+I259</f>
        <v>113</v>
      </c>
      <c r="H259" s="62">
        <f t="shared" si="31"/>
        <v>0</v>
      </c>
      <c r="I259" s="54">
        <f t="shared" si="31"/>
        <v>113</v>
      </c>
      <c r="J259" s="185">
        <v>0</v>
      </c>
      <c r="K259" s="185">
        <v>0</v>
      </c>
      <c r="L259" s="24"/>
      <c r="M259" s="3"/>
    </row>
    <row r="260" spans="1:13" ht="30.75" customHeight="1" thickBot="1">
      <c r="A260" s="436"/>
      <c r="B260" s="393"/>
      <c r="C260" s="394"/>
      <c r="D260" s="52">
        <v>2021</v>
      </c>
      <c r="E260" s="78">
        <f t="shared" si="32"/>
        <v>6099.8</v>
      </c>
      <c r="F260" s="78">
        <f>F245+F250+F255</f>
        <v>5986.8</v>
      </c>
      <c r="G260" s="78">
        <f>H260+I260</f>
        <v>113</v>
      </c>
      <c r="H260" s="62">
        <f t="shared" si="31"/>
        <v>0</v>
      </c>
      <c r="I260" s="54">
        <f t="shared" si="31"/>
        <v>113</v>
      </c>
      <c r="J260" s="185">
        <v>0</v>
      </c>
      <c r="K260" s="185">
        <v>0</v>
      </c>
      <c r="L260" s="24"/>
      <c r="M260" s="3"/>
    </row>
    <row r="261" spans="1:13" ht="52.5" customHeight="1" thickBot="1">
      <c r="A261" s="436"/>
      <c r="B261" s="438" t="s">
        <v>36</v>
      </c>
      <c r="C261" s="439"/>
      <c r="D261" s="108" t="s">
        <v>155</v>
      </c>
      <c r="E261" s="78">
        <f aca="true" t="shared" si="33" ref="E261:J261">SUM(E262:E266)</f>
        <v>1175018.48141</v>
      </c>
      <c r="F261" s="78">
        <f t="shared" si="33"/>
        <v>677768.5999999999</v>
      </c>
      <c r="G261" s="78">
        <f t="shared" si="33"/>
        <v>4786.237</v>
      </c>
      <c r="H261" s="78">
        <f t="shared" si="33"/>
        <v>0</v>
      </c>
      <c r="I261" s="345">
        <f t="shared" si="33"/>
        <v>4786.237</v>
      </c>
      <c r="J261" s="345">
        <f t="shared" si="33"/>
        <v>492463.64440999995</v>
      </c>
      <c r="K261" s="185">
        <v>0</v>
      </c>
      <c r="L261" s="15"/>
      <c r="M261" s="14"/>
    </row>
    <row r="262" spans="1:13" ht="33" customHeight="1" thickBot="1">
      <c r="A262" s="436"/>
      <c r="B262" s="430"/>
      <c r="C262" s="431"/>
      <c r="D262" s="52">
        <v>2017</v>
      </c>
      <c r="E262" s="78">
        <f t="shared" si="32"/>
        <v>259771.653</v>
      </c>
      <c r="F262" s="198">
        <f aca="true" t="shared" si="34" ref="F262:K262">F120+F175+F225+F233+F256</f>
        <v>130298.7</v>
      </c>
      <c r="G262" s="198">
        <f t="shared" si="34"/>
        <v>1029</v>
      </c>
      <c r="H262" s="198">
        <f t="shared" si="34"/>
        <v>0</v>
      </c>
      <c r="I262" s="198">
        <f t="shared" si="34"/>
        <v>1029</v>
      </c>
      <c r="J262" s="198">
        <f t="shared" si="34"/>
        <v>128443.953</v>
      </c>
      <c r="K262" s="198">
        <f t="shared" si="34"/>
        <v>0</v>
      </c>
      <c r="L262" s="15"/>
      <c r="M262" s="3"/>
    </row>
    <row r="263" spans="1:13" ht="30.75" customHeight="1" thickBot="1">
      <c r="A263" s="436"/>
      <c r="B263" s="432"/>
      <c r="C263" s="433"/>
      <c r="D263" s="52">
        <v>2018</v>
      </c>
      <c r="E263" s="345">
        <f t="shared" si="32"/>
        <v>247762.83840999997</v>
      </c>
      <c r="F263" s="199">
        <f>F121+F176+F226+F234+F257</f>
        <v>139635.49999999997</v>
      </c>
      <c r="G263" s="199">
        <f>G121+G176+G226+G234+G257</f>
        <v>1109.818</v>
      </c>
      <c r="H263" s="199">
        <f>H121+H176+H226+H234+H257</f>
        <v>0</v>
      </c>
      <c r="I263" s="199">
        <f>I257+I234+I226+I176+I121</f>
        <v>1109.818</v>
      </c>
      <c r="J263" s="337">
        <f>J257+J234+J226+J176+J121</f>
        <v>107017.52040999998</v>
      </c>
      <c r="K263" s="199">
        <f>K121+K176+K226+K234+K257</f>
        <v>0</v>
      </c>
      <c r="L263" s="16"/>
      <c r="M263" s="3"/>
    </row>
    <row r="264" spans="1:13" ht="30.75" customHeight="1" thickBot="1">
      <c r="A264" s="436"/>
      <c r="B264" s="432"/>
      <c r="C264" s="433"/>
      <c r="D264" s="52">
        <v>2019</v>
      </c>
      <c r="E264" s="78">
        <f t="shared" si="32"/>
        <v>225249.834</v>
      </c>
      <c r="F264" s="199">
        <f>F122+F177+F227+F235+F258</f>
        <v>135944.8</v>
      </c>
      <c r="G264" s="128">
        <f>H264+I264</f>
        <v>882.473</v>
      </c>
      <c r="H264" s="198">
        <f>H122+H177+H227+H235+H258</f>
        <v>0</v>
      </c>
      <c r="I264" s="198">
        <f>I122+I177+I227+I235+I258</f>
        <v>882.473</v>
      </c>
      <c r="J264" s="338">
        <f>J122+J177+J227+J235+J258</f>
        <v>88422.56100000002</v>
      </c>
      <c r="K264" s="198">
        <f>K122+K177+K227+K235+K258</f>
        <v>0</v>
      </c>
      <c r="L264" s="15"/>
      <c r="M264" s="3"/>
    </row>
    <row r="265" spans="1:13" ht="30.75" customHeight="1" thickBot="1">
      <c r="A265" s="436"/>
      <c r="B265" s="432"/>
      <c r="C265" s="433"/>
      <c r="D265" s="52">
        <v>2020</v>
      </c>
      <c r="E265" s="78">
        <f>F265+G265+J265+K265</f>
        <v>221117.07799999998</v>
      </c>
      <c r="F265" s="199">
        <f>F123+F178+F228+F236+F259</f>
        <v>135944.8</v>
      </c>
      <c r="G265" s="128">
        <f>H265+I265</f>
        <v>882.473</v>
      </c>
      <c r="H265" s="200">
        <f>H123+H178+H228+H236+H259</f>
        <v>0</v>
      </c>
      <c r="I265" s="200">
        <f aca="true" t="shared" si="35" ref="I265:K266">I123+I178+I228+I236+I259</f>
        <v>882.473</v>
      </c>
      <c r="J265" s="339">
        <f t="shared" si="35"/>
        <v>84289.80500000001</v>
      </c>
      <c r="K265" s="200">
        <f t="shared" si="35"/>
        <v>0</v>
      </c>
      <c r="L265" s="17"/>
      <c r="M265" s="3"/>
    </row>
    <row r="266" spans="1:13" ht="27" customHeight="1" thickBot="1">
      <c r="A266" s="436"/>
      <c r="B266" s="434"/>
      <c r="C266" s="435"/>
      <c r="D266" s="52">
        <v>2021</v>
      </c>
      <c r="E266" s="78">
        <f t="shared" si="32"/>
        <v>221117.07799999998</v>
      </c>
      <c r="F266" s="199">
        <f>F124+F179+F229+F237+F260</f>
        <v>135944.8</v>
      </c>
      <c r="G266" s="128">
        <f>H266+I266</f>
        <v>882.473</v>
      </c>
      <c r="H266" s="200">
        <f>H124+H179+H229+H237+H260</f>
        <v>0</v>
      </c>
      <c r="I266" s="200">
        <f t="shared" si="35"/>
        <v>882.473</v>
      </c>
      <c r="J266" s="339">
        <f t="shared" si="35"/>
        <v>84289.80500000001</v>
      </c>
      <c r="K266" s="200">
        <f t="shared" si="35"/>
        <v>0</v>
      </c>
      <c r="L266" s="17"/>
      <c r="M266" s="7"/>
    </row>
    <row r="267" ht="25.5" customHeight="1">
      <c r="I267" s="46"/>
    </row>
    <row r="268" spans="2:9" ht="20.25">
      <c r="B268" s="31"/>
      <c r="C268" s="58"/>
      <c r="D268" s="59"/>
      <c r="E268" s="45"/>
      <c r="F268" s="44"/>
      <c r="G268" s="44"/>
      <c r="H268" s="67"/>
      <c r="I268" s="46"/>
    </row>
    <row r="269" spans="2:11" ht="25.5" customHeight="1" hidden="1">
      <c r="B269" s="32"/>
      <c r="C269" s="33"/>
      <c r="D269" s="33"/>
      <c r="E269" s="45"/>
      <c r="F269" s="34"/>
      <c r="G269" s="34"/>
      <c r="H269" s="35"/>
      <c r="I269" s="32"/>
      <c r="J269" s="35"/>
      <c r="K269" s="35"/>
    </row>
    <row r="270" spans="2:11" ht="25.5" customHeight="1" hidden="1">
      <c r="B270" s="32"/>
      <c r="C270" s="33"/>
      <c r="D270" s="33"/>
      <c r="E270" s="45"/>
      <c r="F270" s="36"/>
      <c r="G270" s="36"/>
      <c r="H270" s="32"/>
      <c r="I270" s="37"/>
      <c r="J270" s="32" t="s">
        <v>19</v>
      </c>
      <c r="K270" s="32"/>
    </row>
    <row r="271" spans="2:11" ht="15.75" customHeight="1" hidden="1">
      <c r="B271" s="32"/>
      <c r="C271" s="33"/>
      <c r="D271" s="33"/>
      <c r="E271" s="45"/>
      <c r="F271" s="36"/>
      <c r="G271" s="36"/>
      <c r="H271" s="32"/>
      <c r="I271" s="32"/>
      <c r="J271" s="32"/>
      <c r="K271" s="32"/>
    </row>
    <row r="272" spans="2:11" ht="24.75" customHeight="1" hidden="1">
      <c r="B272" s="32"/>
      <c r="C272" s="33"/>
      <c r="D272" s="33"/>
      <c r="E272" s="45"/>
      <c r="F272" s="36"/>
      <c r="G272" s="36"/>
      <c r="H272" s="32"/>
      <c r="I272" s="38"/>
      <c r="J272" s="32" t="s">
        <v>20</v>
      </c>
      <c r="K272" s="32"/>
    </row>
    <row r="273" spans="2:11" ht="13.5" customHeight="1" hidden="1">
      <c r="B273" s="32"/>
      <c r="C273" s="33"/>
      <c r="D273" s="33"/>
      <c r="E273" s="45"/>
      <c r="F273" s="36"/>
      <c r="G273" s="36"/>
      <c r="H273" s="32"/>
      <c r="I273" s="32"/>
      <c r="J273" s="32"/>
      <c r="K273" s="32"/>
    </row>
    <row r="274" spans="2:11" ht="27.75" customHeight="1" hidden="1">
      <c r="B274" s="32"/>
      <c r="C274" s="33"/>
      <c r="D274" s="33"/>
      <c r="E274" s="45"/>
      <c r="F274" s="36"/>
      <c r="G274" s="36"/>
      <c r="H274" s="32"/>
      <c r="I274" s="32"/>
      <c r="J274" s="32" t="s">
        <v>21</v>
      </c>
      <c r="K274" s="32"/>
    </row>
    <row r="275" spans="2:11" ht="18.75" customHeight="1" hidden="1">
      <c r="B275" s="32"/>
      <c r="C275" s="33"/>
      <c r="D275" s="33"/>
      <c r="E275" s="45"/>
      <c r="F275" s="36"/>
      <c r="G275" s="36"/>
      <c r="H275" s="32"/>
      <c r="I275" s="32"/>
      <c r="J275" s="32"/>
      <c r="K275" s="32"/>
    </row>
    <row r="276" spans="2:11" ht="18.75" customHeight="1" hidden="1">
      <c r="B276" s="32"/>
      <c r="C276" s="33"/>
      <c r="D276" s="33"/>
      <c r="E276" s="45"/>
      <c r="F276" s="36"/>
      <c r="G276" s="36"/>
      <c r="H276" s="32"/>
      <c r="I276" s="32"/>
      <c r="J276" s="32"/>
      <c r="K276" s="32"/>
    </row>
    <row r="277" spans="2:11" ht="27" customHeight="1" hidden="1">
      <c r="B277" s="32"/>
      <c r="C277" s="39"/>
      <c r="D277" s="33"/>
      <c r="E277" s="45"/>
      <c r="F277" s="36"/>
      <c r="G277" s="36"/>
      <c r="H277" s="32"/>
      <c r="I277" s="32"/>
      <c r="J277" s="32" t="s">
        <v>22</v>
      </c>
      <c r="K277" s="32"/>
    </row>
    <row r="278" spans="2:8" ht="22.5" hidden="1">
      <c r="B278" s="25"/>
      <c r="C278" s="27"/>
      <c r="D278" s="26"/>
      <c r="E278" s="45"/>
      <c r="F278" s="28"/>
      <c r="G278" s="28"/>
      <c r="H278" s="31"/>
    </row>
    <row r="279" spans="2:5" ht="18" customHeight="1" hidden="1">
      <c r="B279" s="25"/>
      <c r="C279" s="25"/>
      <c r="D279" s="27"/>
      <c r="E279" s="45"/>
    </row>
    <row r="280" ht="17.25" hidden="1">
      <c r="E280" s="45"/>
    </row>
    <row r="281" spans="5:9" ht="21" customHeight="1">
      <c r="E281" s="59"/>
      <c r="F281" s="29"/>
      <c r="G281" s="29"/>
      <c r="I281" s="43"/>
    </row>
    <row r="282" spans="2:9" ht="21" customHeight="1">
      <c r="B282" s="31"/>
      <c r="D282" s="58"/>
      <c r="E282" s="59"/>
      <c r="F282" s="41"/>
      <c r="G282" s="41"/>
      <c r="I282" s="46"/>
    </row>
    <row r="283" spans="4:7" ht="21" customHeight="1">
      <c r="D283" s="40"/>
      <c r="E283" s="58"/>
      <c r="F283" s="42"/>
      <c r="G283" s="42"/>
    </row>
    <row r="284" spans="4:7" ht="21" customHeight="1">
      <c r="D284" s="40"/>
      <c r="E284" s="59"/>
      <c r="F284" s="41"/>
      <c r="G284" s="41"/>
    </row>
    <row r="285" ht="23.25" customHeight="1"/>
    <row r="286" spans="4:8" ht="29.25" customHeight="1">
      <c r="D286" s="60"/>
      <c r="E286" s="47"/>
      <c r="F286" s="46"/>
      <c r="G286" s="46"/>
      <c r="H286" s="46"/>
    </row>
    <row r="287" spans="4:5" ht="31.5" customHeight="1">
      <c r="D287" s="72"/>
      <c r="E287" s="46"/>
    </row>
    <row r="288" ht="32.25" customHeight="1">
      <c r="D288" s="60"/>
    </row>
  </sheetData>
  <sheetProtection/>
  <mergeCells count="176">
    <mergeCell ref="C1:M1"/>
    <mergeCell ref="C2:M2"/>
    <mergeCell ref="L19:L25"/>
    <mergeCell ref="E26:E27"/>
    <mergeCell ref="K26:K27"/>
    <mergeCell ref="K19:K25"/>
    <mergeCell ref="B15:M15"/>
    <mergeCell ref="I26:I29"/>
    <mergeCell ref="G26:G27"/>
    <mergeCell ref="M107:M111"/>
    <mergeCell ref="B107:C111"/>
    <mergeCell ref="D154:D156"/>
    <mergeCell ref="H10:I10"/>
    <mergeCell ref="H60:H61"/>
    <mergeCell ref="I60:I61"/>
    <mergeCell ref="E71:E77"/>
    <mergeCell ref="M71:M106"/>
    <mergeCell ref="B54:C58"/>
    <mergeCell ref="M120:M124"/>
    <mergeCell ref="A7:A11"/>
    <mergeCell ref="B7:C11"/>
    <mergeCell ref="B12:C12"/>
    <mergeCell ref="B37:C41"/>
    <mergeCell ref="D150:D151"/>
    <mergeCell ref="L154:L155"/>
    <mergeCell ref="B48:C53"/>
    <mergeCell ref="E19:E25"/>
    <mergeCell ref="B114:B119"/>
    <mergeCell ref="B125:M125"/>
    <mergeCell ref="B126:M126"/>
    <mergeCell ref="B183:C190"/>
    <mergeCell ref="M246:M250"/>
    <mergeCell ref="M241:M245"/>
    <mergeCell ref="D217:D224"/>
    <mergeCell ref="D131:D132"/>
    <mergeCell ref="B232:M232"/>
    <mergeCell ref="M183:M224"/>
    <mergeCell ref="B181:M181"/>
    <mergeCell ref="B191:C224"/>
    <mergeCell ref="B131:B149"/>
    <mergeCell ref="B154:C156"/>
    <mergeCell ref="B175:C179"/>
    <mergeCell ref="D152:D153"/>
    <mergeCell ref="B128:J128"/>
    <mergeCell ref="D209:D216"/>
    <mergeCell ref="B180:M180"/>
    <mergeCell ref="A37:A41"/>
    <mergeCell ref="A43:A46"/>
    <mergeCell ref="A48:A53"/>
    <mergeCell ref="A54:A58"/>
    <mergeCell ref="A60:A64"/>
    <mergeCell ref="A65:A69"/>
    <mergeCell ref="B60:C64"/>
    <mergeCell ref="B65:C69"/>
    <mergeCell ref="E78:E85"/>
    <mergeCell ref="D100:D106"/>
    <mergeCell ref="E100:E106"/>
    <mergeCell ref="D71:D77"/>
    <mergeCell ref="M65:M69"/>
    <mergeCell ref="D93:D99"/>
    <mergeCell ref="E93:E99"/>
    <mergeCell ref="E86:E92"/>
    <mergeCell ref="D60:D61"/>
    <mergeCell ref="E60:E61"/>
    <mergeCell ref="F60:F61"/>
    <mergeCell ref="J60:J61"/>
    <mergeCell ref="D78:D85"/>
    <mergeCell ref="G49:G50"/>
    <mergeCell ref="L49:L50"/>
    <mergeCell ref="J49:J50"/>
    <mergeCell ref="E49:E50"/>
    <mergeCell ref="F49:F50"/>
    <mergeCell ref="I49:I50"/>
    <mergeCell ref="M54:M58"/>
    <mergeCell ref="L60:L61"/>
    <mergeCell ref="M60:M64"/>
    <mergeCell ref="L47:M47"/>
    <mergeCell ref="M43:M46"/>
    <mergeCell ref="B47:J47"/>
    <mergeCell ref="M48:M51"/>
    <mergeCell ref="D49:D50"/>
    <mergeCell ref="H49:H50"/>
    <mergeCell ref="B43:C46"/>
    <mergeCell ref="G30:G31"/>
    <mergeCell ref="F26:F27"/>
    <mergeCell ref="K30:K31"/>
    <mergeCell ref="B42:M42"/>
    <mergeCell ref="H30:H33"/>
    <mergeCell ref="I30:I33"/>
    <mergeCell ref="B36:M36"/>
    <mergeCell ref="E30:E31"/>
    <mergeCell ref="M37:M41"/>
    <mergeCell ref="L30:L33"/>
    <mergeCell ref="H19:H25"/>
    <mergeCell ref="I19:I25"/>
    <mergeCell ref="B19:C35"/>
    <mergeCell ref="J19:J25"/>
    <mergeCell ref="J26:J29"/>
    <mergeCell ref="J30:J33"/>
    <mergeCell ref="F19:F25"/>
    <mergeCell ref="G19:G25"/>
    <mergeCell ref="H26:H29"/>
    <mergeCell ref="F30:F31"/>
    <mergeCell ref="B13:M14"/>
    <mergeCell ref="F7:J7"/>
    <mergeCell ref="M7:M11"/>
    <mergeCell ref="K7:K11"/>
    <mergeCell ref="G10:G11"/>
    <mergeCell ref="G9:I9"/>
    <mergeCell ref="G8:J8"/>
    <mergeCell ref="J9:J11"/>
    <mergeCell ref="A13:A14"/>
    <mergeCell ref="A19:A35"/>
    <mergeCell ref="D30:D33"/>
    <mergeCell ref="L26:L29"/>
    <mergeCell ref="D26:D29"/>
    <mergeCell ref="D19:D25"/>
    <mergeCell ref="B16:M16"/>
    <mergeCell ref="B17:M17"/>
    <mergeCell ref="B18:M18"/>
    <mergeCell ref="M19:M35"/>
    <mergeCell ref="A71:A106"/>
    <mergeCell ref="A107:A111"/>
    <mergeCell ref="A120:A124"/>
    <mergeCell ref="A150:A151"/>
    <mergeCell ref="A152:A153"/>
    <mergeCell ref="B152:C153"/>
    <mergeCell ref="B71:C106"/>
    <mergeCell ref="B127:J127"/>
    <mergeCell ref="B129:J129"/>
    <mergeCell ref="D86:D92"/>
    <mergeCell ref="A131:A149"/>
    <mergeCell ref="A154:A156"/>
    <mergeCell ref="A175:A179"/>
    <mergeCell ref="A183:A190"/>
    <mergeCell ref="A191:A224"/>
    <mergeCell ref="A225:A229"/>
    <mergeCell ref="A157:A174"/>
    <mergeCell ref="A246:A250"/>
    <mergeCell ref="B262:C266"/>
    <mergeCell ref="A251:A255"/>
    <mergeCell ref="A256:A260"/>
    <mergeCell ref="A261:A266"/>
    <mergeCell ref="A241:A245"/>
    <mergeCell ref="B241:C245"/>
    <mergeCell ref="B246:C250"/>
    <mergeCell ref="B251:C255"/>
    <mergeCell ref="B261:C261"/>
    <mergeCell ref="A233:A237"/>
    <mergeCell ref="B238:M238"/>
    <mergeCell ref="B239:M239"/>
    <mergeCell ref="B231:M231"/>
    <mergeCell ref="B225:C229"/>
    <mergeCell ref="B233:C237"/>
    <mergeCell ref="M233:M237"/>
    <mergeCell ref="B230:M230"/>
    <mergeCell ref="B256:C260"/>
    <mergeCell ref="B112:C112"/>
    <mergeCell ref="B113:C113"/>
    <mergeCell ref="B120:C124"/>
    <mergeCell ref="B150:C151"/>
    <mergeCell ref="D193:D200"/>
    <mergeCell ref="D201:D208"/>
    <mergeCell ref="B182:M182"/>
    <mergeCell ref="M131:M156"/>
    <mergeCell ref="L134:L139"/>
    <mergeCell ref="H4:M4"/>
    <mergeCell ref="B240:M240"/>
    <mergeCell ref="M251:M255"/>
    <mergeCell ref="B157:B174"/>
    <mergeCell ref="M157:M174"/>
    <mergeCell ref="B5:L5"/>
    <mergeCell ref="D7:D11"/>
    <mergeCell ref="E7:E11"/>
    <mergeCell ref="L7:L11"/>
    <mergeCell ref="F8:F11"/>
  </mergeCells>
  <printOptions/>
  <pageMargins left="0.2755905511811024" right="0.2755905511811024" top="1.1811023622047245" bottom="0.15748031496062992" header="0.15748031496062992" footer="0.15748031496062992"/>
  <pageSetup horizontalDpi="600" verticalDpi="600" orientation="landscape" paperSize="9" scale="35" r:id="rId1"/>
  <rowBreaks count="7" manualBreakCount="7">
    <brk id="41" max="12" man="1"/>
    <brk id="70" max="12" man="1"/>
    <brk id="107" max="12" man="1"/>
    <brk id="149" max="12" man="1"/>
    <brk id="190" max="12" man="1"/>
    <brk id="229" max="12" man="1"/>
    <brk id="2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2018-10-17T11:48:58Z</cp:lastPrinted>
  <dcterms:created xsi:type="dcterms:W3CDTF">2010-09-22T11:49:59Z</dcterms:created>
  <dcterms:modified xsi:type="dcterms:W3CDTF">2018-10-25T13:13:46Z</dcterms:modified>
  <cp:category/>
  <cp:version/>
  <cp:contentType/>
  <cp:contentStatus/>
</cp:coreProperties>
</file>