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7992" tabRatio="478" activeTab="0"/>
  </bookViews>
  <sheets>
    <sheet name="Изменения  от 10.02.20г. " sheetId="1" r:id="rId1"/>
  </sheets>
  <definedNames>
    <definedName name="_xlnm.Print_Titles" localSheetId="0">'Изменения  от 10.02.20г. '!$5:$10</definedName>
    <definedName name="_xlnm.Print_Area" localSheetId="0">'Изменения  от 10.02.20г. '!$A$1:$M$427</definedName>
  </definedNames>
  <calcPr fullCalcOnLoad="1"/>
</workbook>
</file>

<file path=xl/sharedStrings.xml><?xml version="1.0" encoding="utf-8"?>
<sst xmlns="http://schemas.openxmlformats.org/spreadsheetml/2006/main" count="598" uniqueCount="281">
  <si>
    <t>Объём финансирования (тыс.руб.)</t>
  </si>
  <si>
    <t>Исполнители - ответственные за реализацию мероприятия</t>
  </si>
  <si>
    <t>Мероприятия:</t>
  </si>
  <si>
    <t>Управление образования</t>
  </si>
  <si>
    <t xml:space="preserve">Управление образования </t>
  </si>
  <si>
    <t xml:space="preserve">Управление образования  </t>
  </si>
  <si>
    <t xml:space="preserve">Управление образования    </t>
  </si>
  <si>
    <t>МКУ «ГКМХ»</t>
  </si>
  <si>
    <t xml:space="preserve">Направление мероприятия </t>
  </si>
  <si>
    <t xml:space="preserve">Срок исполнения </t>
  </si>
  <si>
    <t>МБДОУ ЦРР Д/С №3</t>
  </si>
  <si>
    <t>Субвенции</t>
  </si>
  <si>
    <t>МБДОУ ЦРР Д/С № 6</t>
  </si>
  <si>
    <t>В том числе:</t>
  </si>
  <si>
    <t>Внебюджетные средства</t>
  </si>
  <si>
    <t>МБДОУ ЦРР Д/С № 3</t>
  </si>
  <si>
    <t>,</t>
  </si>
  <si>
    <t>О.М.Горшкова</t>
  </si>
  <si>
    <t>Т.Н.Путилова</t>
  </si>
  <si>
    <t>И.В.Лушникова</t>
  </si>
  <si>
    <t>Т.П.Симонова</t>
  </si>
  <si>
    <t>МБОУ СОШ № 2</t>
  </si>
  <si>
    <t>5. "Социальная поддержка населения"</t>
  </si>
  <si>
    <t>МБДОУ ЦРР Д/С № 5</t>
  </si>
  <si>
    <t>МБОУСОШ №1</t>
  </si>
  <si>
    <t>МБОУСОШ №2</t>
  </si>
  <si>
    <t>Задача: Реализация расходов на обеспечение деятельности муниципальных учреждений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</si>
  <si>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</si>
  <si>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</si>
  <si>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1. Развитие системы обеспечения доступности качества образовательных услуг</t>
  </si>
  <si>
    <t>Управление образования, МБОУ ДОД ЦВР "Лад"</t>
  </si>
  <si>
    <t>ИТОГО по подпрограмме:</t>
  </si>
  <si>
    <t>Итого по разделу 1:</t>
  </si>
  <si>
    <t>МБДОУ ЦРР Д/С №5</t>
  </si>
  <si>
    <t>МБДОУ ЦРР Д/С №6</t>
  </si>
  <si>
    <t>МБОУ СОШ № 1</t>
  </si>
  <si>
    <t>МБОУ ДОД ЦВР "Лад"</t>
  </si>
  <si>
    <t>Итого по разделу 5:</t>
  </si>
  <si>
    <t>МКУ «ГКМХ», управление образования</t>
  </si>
  <si>
    <t>МБОУ ДОД ЦВР "Лад" (з/пл. педагогов доведение до указа президента)</t>
  </si>
  <si>
    <t>Итого по разделу 2:</t>
  </si>
  <si>
    <t>МБОУ ДОД ЦВР "Лад",МБОУ СОШ №1 , МБДОУ ЦРР Д/С №5</t>
  </si>
  <si>
    <t>Итого по разделу 3:</t>
  </si>
  <si>
    <t>МБОУ ДОД ЦВР "Лад",МБОУ СОШ №1 , МБДОУ ЦРР Д/С №5; Д/с 3; Д/с 6;СОШ №2</t>
  </si>
  <si>
    <t>д/с № 3</t>
  </si>
  <si>
    <t>д/с № 6</t>
  </si>
  <si>
    <t>сош № 1</t>
  </si>
  <si>
    <t>сош № 2</t>
  </si>
  <si>
    <t>ЦВР "Лад"</t>
  </si>
  <si>
    <t>СОШ № !</t>
  </si>
  <si>
    <t>СОШ № 2</t>
  </si>
  <si>
    <t>ГКМХ</t>
  </si>
  <si>
    <t>Вознаграждение за конкурс "Лучший учитель" 2017 г.-100%, 2018 г.- 100%, 2019 г.-100%, 2020г- 100%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</si>
  <si>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</t>
  </si>
  <si>
    <t>Повышение престижа педагогической профессии, продолжение обучения в ВУЗах и СУЗах выпускников 11 классов: 2017 г.- 88%, 2018 г.- 89%, 2019 г.- 90%, 2020г. -95%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</si>
  <si>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</si>
  <si>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</t>
  </si>
  <si>
    <t>Рост числа участников олимпиад, конкурсов, фестивалей, выставок к общему количеству обучающихся: 2017 г.-79%, 2018 г.- 80%, 2019 г.- 81%, 2020г. -82%</t>
  </si>
  <si>
    <t>МБОУ ДОД ЦВР "Лад" (софин.)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</si>
  <si>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</si>
  <si>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</si>
  <si>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4. Выполнение управленческих функций, обеспечивающих стабильность работы подведомственных учреждений</t>
  </si>
  <si>
    <t>Доля детей-инвалидов дошкольного возраста, охваченных социальной поддержкой: 2017 год -100%, 2018 год - 100%, 2019 год - 100%, 2020 год - 100%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</si>
  <si>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</si>
  <si>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</t>
  </si>
  <si>
    <t>Создание условий для участия обучающихся образовательных учреждений в конкурсах, соревнованиях за пределами города.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</si>
  <si>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</si>
  <si>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Унификация программного продукта. Внедрение программного комплекса «1С: управление школой», "Барс" в 2017 г.-100%, 2018 г.- 100%, 2019 г.- 100% , 2020г- 100%.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</si>
  <si>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</si>
  <si>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- 100%.
Удельный вес численности учащихся 9-10 классов, обучающихся по программам предпрофильной подготовки и программам профильного обучения к 2020 г. - 50%.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2020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2010 г. - 78%.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79%.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</si>
  <si>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</t>
  </si>
  <si>
    <t>Цель: обеспечение доступности качественного дошкольного,  общего  и дополнительного  образования, соответствующего требованиям развития экономики, современным потребностям общества и каждого гражданина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</si>
  <si>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</si>
  <si>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                                      </t>
  </si>
  <si>
    <t>1.2.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</si>
  <si>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</si>
  <si>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</si>
  <si>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>1.4.</t>
  </si>
  <si>
    <t>1.5.</t>
  </si>
  <si>
    <t>. Проведение городских праздников "День знаний", " "Выпускник", "День учителя"</t>
  </si>
  <si>
    <t>1.6.</t>
  </si>
  <si>
    <t xml:space="preserve"> Проведение военных сборов       (участие в проведении акции "День призывника")</t>
  </si>
  <si>
    <t>1.7.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</si>
  <si>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</si>
  <si>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Поощрение ГРБС, добившихся высоких результатов в использовании бюджетных ассигнований и качества управления финансами.</t>
  </si>
  <si>
    <t>1.9.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</si>
  <si>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</si>
  <si>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2.1.1.</t>
  </si>
  <si>
    <t>2.1.2.</t>
  </si>
  <si>
    <t>Дошкольных учреждений  (текущий ремонт)</t>
  </si>
  <si>
    <t>3.1.</t>
  </si>
  <si>
    <t>3.2.</t>
  </si>
  <si>
    <t xml:space="preserve"> Выполнение  функций муниципального задания  </t>
  </si>
  <si>
    <t>4.1.</t>
  </si>
  <si>
    <t>5.1.</t>
  </si>
  <si>
    <t>5.2.</t>
  </si>
  <si>
    <t>5.3.</t>
  </si>
  <si>
    <t>Другие собственные доходы</t>
  </si>
  <si>
    <t>Собственных доходов:</t>
  </si>
  <si>
    <t>Всего</t>
  </si>
  <si>
    <t>в том числе</t>
  </si>
  <si>
    <t>Субсидии, иные межбюджетные трансферты</t>
  </si>
  <si>
    <t>из федерального бюджета</t>
  </si>
  <si>
    <t>из областного бюджета</t>
  </si>
  <si>
    <t>2.1.</t>
  </si>
  <si>
    <t>3.Выполнение муниципальных заданий</t>
  </si>
  <si>
    <t>2.2.</t>
  </si>
  <si>
    <t>Обеспечение пожарной безопасности образовательных учреждений</t>
  </si>
  <si>
    <t>д/сад № 3</t>
  </si>
  <si>
    <t>д/сад № 5</t>
  </si>
  <si>
    <t>д/сад № 6</t>
  </si>
  <si>
    <t>СОШ № 1</t>
  </si>
  <si>
    <t>д/с № 5</t>
  </si>
  <si>
    <t>Обеспечение пожарной безопасности образовательных учреждений согласно требованиям  пожарной безопасностина 100 %</t>
  </si>
  <si>
    <t>д/с  № 5</t>
  </si>
  <si>
    <t>Управление образования    в т. ч 40,250- премия отличникам учебы</t>
  </si>
  <si>
    <t>Цвр "Лад"</t>
  </si>
  <si>
    <t>2017-2021г.г.</t>
  </si>
  <si>
    <t>1.11.</t>
  </si>
  <si>
    <t>2.3.1.</t>
  </si>
  <si>
    <t>2.3.</t>
  </si>
  <si>
    <t>2.3.2.</t>
  </si>
  <si>
    <t>2.3.3.</t>
  </si>
  <si>
    <t>2.3.4.</t>
  </si>
  <si>
    <t>2.3.5.</t>
  </si>
  <si>
    <t>Приобретение автоматических выключателей в электрощитки (замена)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</si>
  <si>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</si>
  <si>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</si>
  <si>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</si>
  <si>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Замена 30% автоматических выключателей для защиты распределительной сети</t>
  </si>
  <si>
    <t>Обеспечение безопасности дорожного движения</t>
  </si>
  <si>
    <t>ДОУ № 3</t>
  </si>
  <si>
    <t>ДОУ № 5</t>
  </si>
  <si>
    <t>ДОУ № 6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</si>
  <si>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</si>
  <si>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</si>
  <si>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ремонт п/блока</t>
  </si>
  <si>
    <t>Общнобразовательных учреждений (текущий ремонт)</t>
  </si>
  <si>
    <t>Учреждения дополнительного образования (текущий ремонт)</t>
  </si>
  <si>
    <t>Оборудование видеокамерами цветного изображения рекреаций 1-3 этажей</t>
  </si>
  <si>
    <t>Приобретение первичных средств пожаротушения (огнетушители)</t>
  </si>
  <si>
    <t>Задача: Обеспечение условий реализации образовательных программ соответствующих уровней.</t>
  </si>
  <si>
    <t>Нормативные затраты, непосредственно связанные с оказанием муниципальных услуг</t>
  </si>
  <si>
    <t>Цель: Повышение эффективности управления  в системе образования</t>
  </si>
  <si>
    <t xml:space="preserve"> Расходы на обеспечение деятельности (оказания услуг) муниципальных организаци</t>
  </si>
  <si>
    <t>Социальная поддержка детей-инвалидов дошкольного возраста</t>
  </si>
  <si>
    <t>Соцальная поддерка по оплате жилья и коммуных услуг отдельным категориям граждан</t>
  </si>
  <si>
    <t>Компенсация части родительской платы за содержание ребенка в  муниципальных образовательных учреждениях</t>
  </si>
  <si>
    <t>1.2.1.</t>
  </si>
  <si>
    <t>Приобретение методической литературы для работы с детьми с ограниченными возможностями</t>
  </si>
  <si>
    <t>2.1.3.</t>
  </si>
  <si>
    <t>Проектные работы, реконструкция, текущие ремонты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</si>
  <si>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</si>
  <si>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>ЦБ, МК упр. образования</t>
  </si>
  <si>
    <t>тек. ремонт</t>
  </si>
  <si>
    <t>СОШ 2</t>
  </si>
  <si>
    <t>СОШ 1</t>
  </si>
  <si>
    <t xml:space="preserve"> ЦВР "Лад" (з/плата)</t>
  </si>
  <si>
    <t>ЦВР "Лад"  (все расзоды)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</si>
  <si>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программдошкольногообразования в части реализации, содержанияи воспитания.</t>
  </si>
  <si>
    <t>Укрепление МТБ (приобретение)</t>
  </si>
  <si>
    <t xml:space="preserve">Приложение № 2 к программе "Развитие образования </t>
  </si>
  <si>
    <t>ЗАТО г. Радужный Владимирской области"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</si>
  <si>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</si>
  <si>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</si>
  <si>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ЦВР Лад - приобрет винтовки</t>
  </si>
  <si>
    <t>2.4.</t>
  </si>
  <si>
    <t>2.4.1.</t>
  </si>
  <si>
    <t>2.4.2.</t>
  </si>
  <si>
    <t>2.5.</t>
  </si>
  <si>
    <t xml:space="preserve"> Поощрение лучших учителей-лауреатов областного конкурса</t>
  </si>
  <si>
    <t>1.12.</t>
  </si>
  <si>
    <t>Управление образования, МБОУ ДО ЦВР "Лад"</t>
  </si>
  <si>
    <t>Упр-е образования, методкабинет</t>
  </si>
  <si>
    <t xml:space="preserve">Задачи:
1. Развитие  дошкольной образовательной сети, обеспечивающей равный доступ граждан города к услугам дошкольного образования, модернизация содержания образования.
2. Создание условий  для устойчивого развития системы общего  и  дополнительного образования детей, обеспечение ее современного качества, доступности и эффективности.  
3. Повышение привлекательности  работы в должности  педагога  в образовательных учреждения города.  4.Повышение компетентности родителей (законных предсставителей) в вопросах воспитания и образования дедей.
</t>
  </si>
  <si>
    <t>Управление образования, СОШ № 1</t>
  </si>
  <si>
    <t>Проведение специальной оценки условий труда</t>
  </si>
  <si>
    <t>Проведдение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</si>
  <si>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МБОУДО ЦВР "Лад"</t>
  </si>
  <si>
    <t>Поставка мегафона  и оповещателя</t>
  </si>
  <si>
    <t>Дополнительное оборудование здания начальных классов системой наружного и внутреннего  видеонаблюдения.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</si>
  <si>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</si>
  <si>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</si>
  <si>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</si>
  <si>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управление образования</t>
  </si>
  <si>
    <t>сош №1</t>
  </si>
  <si>
    <t xml:space="preserve">Установка камер видеонаблюдения </t>
  </si>
  <si>
    <t>сош 1</t>
  </si>
  <si>
    <t>100,0 -осн. зд. ; 27,0- ншс</t>
  </si>
  <si>
    <t>сош 2</t>
  </si>
  <si>
    <t>ДОУ 5</t>
  </si>
  <si>
    <t>80,0т.р.</t>
  </si>
  <si>
    <t>150,0 т.р</t>
  </si>
  <si>
    <t>Оснащение охранной сигнализации (в т.ч. установкаэлектронных заиков для разблокировки на двери запасных выходов)</t>
  </si>
  <si>
    <t>360,0т.р.</t>
  </si>
  <si>
    <t>330,0т.р.-зд.нач.кл.</t>
  </si>
  <si>
    <t>400,0т.р.</t>
  </si>
  <si>
    <t>Замена входных дверей главного запасного входа</t>
  </si>
  <si>
    <t>250,0т.р.</t>
  </si>
  <si>
    <t>Синхронизация СКУД и домофонов</t>
  </si>
  <si>
    <t>ДОУ 3</t>
  </si>
  <si>
    <t>30,0т.р.</t>
  </si>
  <si>
    <t>Приобретение аккууляторов для КТС</t>
  </si>
  <si>
    <t>10,0 т.р.</t>
  </si>
  <si>
    <t>100,0 т. р.</t>
  </si>
  <si>
    <t>Оснащение въездов на объект средствами снижения скорости</t>
  </si>
  <si>
    <t>ДОУ 6</t>
  </si>
  <si>
    <t>210,0 т.р.</t>
  </si>
  <si>
    <t>ЦВР  "Лад"</t>
  </si>
  <si>
    <t>200,0 т.р.</t>
  </si>
  <si>
    <t>150,0 т.р.</t>
  </si>
  <si>
    <t>120,0 т.р.</t>
  </si>
  <si>
    <t xml:space="preserve">Обеспечение антитеррористической защищенности, пожрной безопасности общеобразовательных организаций .                            </t>
  </si>
  <si>
    <t>2.5.1.</t>
  </si>
  <si>
    <t>2.5.2</t>
  </si>
  <si>
    <t>2.5.3.</t>
  </si>
  <si>
    <t>2.5.4.</t>
  </si>
  <si>
    <t>2.5.5.</t>
  </si>
  <si>
    <t>2.5.6.</t>
  </si>
  <si>
    <t>Антитеррористическая безопасность.                             Паспорта безопасности</t>
  </si>
  <si>
    <t>1.2.2.</t>
  </si>
  <si>
    <t>Премия отличникам учебы</t>
  </si>
  <si>
    <t xml:space="preserve">Устройство исистемы видеонаблюения спортивно-игровой площадки на межшкольном стадионе </t>
  </si>
  <si>
    <r>
      <t>Видеонаблюдение : оснащение пунктов проведения ЕГЭ.</t>
    </r>
    <r>
      <rPr>
        <sz val="14"/>
        <color indexed="30"/>
        <rFont val="Times New Roman"/>
        <family val="1"/>
      </rPr>
      <t xml:space="preserve"> </t>
    </r>
  </si>
  <si>
    <t>ГКМХ СОШ № 1 -софин-е</t>
  </si>
  <si>
    <t>ЦВР (дол)</t>
  </si>
  <si>
    <t xml:space="preserve"> ЦВР "Лад"(все расходы)</t>
  </si>
  <si>
    <t xml:space="preserve"> ЦВР "Лад" (софин.)</t>
  </si>
  <si>
    <t>ЦВР (софинанс к обл)</t>
  </si>
  <si>
    <t>ЦВР (софинанс к обл.)</t>
  </si>
  <si>
    <t xml:space="preserve"> ЦВР "Лад"(мун зад)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</si>
  <si>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</si>
  <si>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- 400; 2022г. - 400</t>
  </si>
  <si>
    <t>Ожидаемые результаты:                                   Показатели оценки эффективности  (качественные, количественные)</t>
  </si>
  <si>
    <t>1.Е1.1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</si>
  <si>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</si>
  <si>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</si>
  <si>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</si>
  <si>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t>1.Е3.1</t>
  </si>
  <si>
    <t xml:space="preserve">сош № 2 </t>
  </si>
  <si>
    <t>1.10</t>
  </si>
  <si>
    <t>1.10.1.</t>
  </si>
  <si>
    <t>1.11.1</t>
  </si>
  <si>
    <t>1.Е4.1</t>
  </si>
  <si>
    <t>2021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</si>
  <si>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</si>
  <si>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</si>
  <si>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</si>
  <si>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</si>
  <si>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</si>
  <si>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</si>
  <si>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 xml:space="preserve">сош №1 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</si>
  <si>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</si>
  <si>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</si>
  <si>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</si>
  <si>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</si>
  <si>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</si>
  <si>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</si>
  <si>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</si>
  <si>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</si>
  <si>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1.Е5.1</t>
  </si>
  <si>
    <t>сош № 1     сош № 2</t>
  </si>
  <si>
    <t>Итого по нац проектам</t>
  </si>
  <si>
    <t>Итого</t>
  </si>
  <si>
    <t xml:space="preserve">Всего 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</si>
  <si>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</si>
  <si>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</si>
  <si>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 xml:space="preserve">к 2025 году повысят квалификацию на базе детских технопар-ков "Кванториум", организаций, осуществляющих образова-тельную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2025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2025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2025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2025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2025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2025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</si>
  <si>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</si>
  <si>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</si>
  <si>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r>
      <rPr>
        <b/>
        <sz val="16"/>
        <rFont val="Times New Roman"/>
        <family val="1"/>
      </rPr>
      <t>1.Е1 "Федеральныйс проект  "Современная школа" национального проекта "Образование"</t>
    </r>
    <r>
      <rPr>
        <sz val="16"/>
        <rFont val="Times New Roman"/>
        <family val="1"/>
      </rPr>
      <t xml:space="preserve"> 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млых годах"</t>
    </r>
  </si>
  <si>
    <r>
      <rPr>
        <b/>
        <sz val="16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6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</si>
  <si>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r>
      <rPr>
        <b/>
        <sz val="16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6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</si>
  <si>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r>
      <rPr>
        <b/>
        <sz val="16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6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</si>
  <si>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r>
      <rPr>
        <b/>
        <sz val="14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4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</si>
  <si>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</si>
  <si>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1.12</t>
  </si>
  <si>
    <t>1.13.</t>
  </si>
  <si>
    <t>МКУ "ГКМХ"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</si>
  <si>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</si>
  <si>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 xml:space="preserve">       4.   Мероприятия муниципальной подпрограммы «Развитие дошкольного, общего и дополнительного образования ЗАТО г.Радужный Владимирской области»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</si>
</sst>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#,##0.000"/>
    <numFmt numFmtId="181" formatCode="#,##0.00000"/>
    <numFmt numFmtId="182" formatCode="0.000000"/>
    <numFmt numFmtId="183" formatCode="0.0000000"/>
    <numFmt numFmtId="184" formatCode="0.00000000"/>
    <numFmt numFmtId="185" formatCode="0.000000000"/>
    <numFmt numFmtId="186" formatCode="_-* #,##0.0_р_._-;\-* #,##0.0_р_._-;_-* &quot;-&quot;??_р_._-;_-@_-"/>
    <numFmt numFmtId="187" formatCode="_-* #,##0.000_р_._-;\-* #,##0.000_р_._-;_-* &quot;-&quot;??_р_._-;_-@_-"/>
    <numFmt numFmtId="188" formatCode="[$-FC19]d\ mmmm\ yyyy\ &quot;г.&quot;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\ _₽_-;\-* #,##0.000\ _₽_-;_-* &quot;-&quot;???\ _₽_-;_-@_-"/>
    <numFmt numFmtId="192" formatCode="_-* #,##0.0000000\ _₽_-;\-* #,##0.0000000\ _₽_-;_-* &quot;-&quot;???????\ _₽_-;_-@_-"/>
    <numFmt numFmtId="193" formatCode="_-* #,##0.0000\ _₽_-;\-* #,##0.0000\ _₽_-;_-* &quot;-&quot;????\ _₽_-;_-@_-"/>
    <numFmt numFmtId="194" formatCode="_-* #,##0.00000\ _₽_-;\-* #,##0.00000\ _₽_-;_-* &quot;-&quot;?????\ _₽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4"/>
      <color indexed="3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Fill="1" applyBorder="1" applyAlignment="1">
      <alignment vertical="top" wrapText="1"/>
    </xf>
    <xf numFmtId="178" fontId="7" fillId="0" borderId="10" xfId="60" applyNumberFormat="1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52" fillId="0" borderId="10" xfId="6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center" wrapText="1"/>
    </xf>
    <xf numFmtId="178" fontId="7" fillId="0" borderId="10" xfId="60" applyNumberFormat="1" applyFont="1" applyFill="1" applyBorder="1" applyAlignment="1">
      <alignment horizontal="center" vertical="top" wrapText="1"/>
    </xf>
    <xf numFmtId="178" fontId="8" fillId="0" borderId="10" xfId="60" applyNumberFormat="1" applyFont="1" applyFill="1" applyBorder="1" applyAlignment="1">
      <alignment horizontal="center"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8" fontId="9" fillId="0" borderId="10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2" fontId="8" fillId="0" borderId="10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7" fillId="0" borderId="10" xfId="60" applyNumberFormat="1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78" fontId="9" fillId="0" borderId="10" xfId="6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178" fontId="7" fillId="0" borderId="10" xfId="6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2" fontId="4" fillId="0" borderId="10" xfId="6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178" fontId="7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78" fontId="8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top" wrapText="1"/>
    </xf>
    <xf numFmtId="178" fontId="8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178" fontId="8" fillId="0" borderId="18" xfId="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1" fontId="7" fillId="0" borderId="10" xfId="60" applyFont="1" applyFill="1" applyBorder="1" applyAlignment="1">
      <alignment wrapText="1"/>
    </xf>
    <xf numFmtId="178" fontId="8" fillId="0" borderId="19" xfId="0" applyNumberFormat="1" applyFont="1" applyFill="1" applyBorder="1" applyAlignment="1">
      <alignment horizontal="center" vertical="center" wrapText="1"/>
    </xf>
    <xf numFmtId="2" fontId="10" fillId="0" borderId="10" xfId="6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0" borderId="2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171" fontId="7" fillId="0" borderId="10" xfId="6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7" fillId="0" borderId="12" xfId="6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" fontId="9" fillId="0" borderId="21" xfId="0" applyNumberFormat="1" applyFont="1" applyFill="1" applyBorder="1" applyAlignment="1">
      <alignment horizontal="center" vertical="top" wrapText="1"/>
    </xf>
    <xf numFmtId="178" fontId="8" fillId="0" borderId="1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178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6" fontId="4" fillId="0" borderId="27" xfId="0" applyNumberFormat="1" applyFont="1" applyFill="1" applyBorder="1" applyAlignment="1">
      <alignment horizontal="center" vertical="center" wrapText="1"/>
    </xf>
    <xf numFmtId="16" fontId="4" fillId="0" borderId="28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top" wrapText="1"/>
    </xf>
    <xf numFmtId="178" fontId="4" fillId="0" borderId="12" xfId="0" applyNumberFormat="1" applyFont="1" applyFill="1" applyBorder="1" applyAlignment="1">
      <alignment vertical="top" wrapText="1"/>
    </xf>
    <xf numFmtId="178" fontId="7" fillId="0" borderId="18" xfId="0" applyNumberFormat="1" applyFont="1" applyFill="1" applyBorder="1" applyAlignment="1">
      <alignment horizontal="center" vertical="top" wrapText="1"/>
    </xf>
    <xf numFmtId="178" fontId="4" fillId="0" borderId="18" xfId="0" applyNumberFormat="1" applyFont="1" applyFill="1" applyBorder="1" applyAlignment="1">
      <alignment vertical="top" wrapText="1"/>
    </xf>
    <xf numFmtId="178" fontId="8" fillId="0" borderId="20" xfId="0" applyNumberFormat="1" applyFont="1" applyFill="1" applyBorder="1" applyAlignment="1">
      <alignment horizontal="center" vertical="top" wrapText="1"/>
    </xf>
    <xf numFmtId="178" fontId="7" fillId="0" borderId="19" xfId="0" applyNumberFormat="1" applyFont="1" applyFill="1" applyBorder="1" applyAlignment="1">
      <alignment horizontal="center" vertical="top" wrapText="1"/>
    </xf>
    <xf numFmtId="178" fontId="8" fillId="0" borderId="18" xfId="0" applyNumberFormat="1" applyFont="1" applyFill="1" applyBorder="1" applyAlignment="1">
      <alignment horizontal="center" vertical="center" wrapText="1"/>
    </xf>
    <xf numFmtId="178" fontId="8" fillId="0" borderId="20" xfId="0" applyNumberFormat="1" applyFont="1" applyFill="1" applyBorder="1" applyAlignment="1">
      <alignment horizontal="center" vertical="center" wrapText="1"/>
    </xf>
    <xf numFmtId="178" fontId="8" fillId="0" borderId="29" xfId="0" applyNumberFormat="1" applyFont="1" applyFill="1" applyBorder="1" applyAlignment="1">
      <alignment horizontal="center" vertical="center" wrapText="1"/>
    </xf>
    <xf numFmtId="178" fontId="8" fillId="0" borderId="19" xfId="0" applyNumberFormat="1" applyFont="1" applyFill="1" applyBorder="1" applyAlignment="1">
      <alignment horizontal="center" vertical="top" wrapText="1"/>
    </xf>
    <xf numFmtId="178" fontId="3" fillId="0" borderId="29" xfId="0" applyNumberFormat="1" applyFont="1" applyFill="1" applyBorder="1" applyAlignment="1">
      <alignment vertical="top" wrapText="1"/>
    </xf>
    <xf numFmtId="178" fontId="8" fillId="0" borderId="29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vertical="center" wrapText="1"/>
    </xf>
    <xf numFmtId="2" fontId="3" fillId="0" borderId="11" xfId="60" applyNumberFormat="1" applyFont="1" applyFill="1" applyBorder="1" applyAlignment="1">
      <alignment horizontal="center" vertical="center" wrapText="1"/>
    </xf>
    <xf numFmtId="178" fontId="8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center"/>
    </xf>
    <xf numFmtId="178" fontId="3" fillId="0" borderId="12" xfId="60" applyNumberFormat="1" applyFont="1" applyFill="1" applyBorder="1" applyAlignment="1">
      <alignment horizontal="center" vertical="center" wrapText="1"/>
    </xf>
    <xf numFmtId="178" fontId="7" fillId="0" borderId="18" xfId="60" applyNumberFormat="1" applyFont="1" applyFill="1" applyBorder="1" applyAlignment="1">
      <alignment horizontal="center" vertical="center" wrapText="1"/>
    </xf>
    <xf numFmtId="178" fontId="8" fillId="0" borderId="18" xfId="60" applyNumberFormat="1" applyFont="1" applyFill="1" applyBorder="1" applyAlignment="1">
      <alignment horizontal="center" vertical="center" wrapText="1"/>
    </xf>
    <xf numFmtId="178" fontId="3" fillId="0" borderId="18" xfId="6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8" fontId="8" fillId="0" borderId="19" xfId="60" applyNumberFormat="1" applyFont="1" applyFill="1" applyBorder="1" applyAlignment="1">
      <alignment horizontal="center" vertical="center" wrapText="1"/>
    </xf>
    <xf numFmtId="178" fontId="8" fillId="0" borderId="29" xfId="6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178" fontId="7" fillId="0" borderId="24" xfId="60" applyNumberFormat="1" applyFont="1" applyFill="1" applyBorder="1" applyAlignment="1">
      <alignment horizontal="center" vertical="center" wrapText="1"/>
    </xf>
    <xf numFmtId="178" fontId="8" fillId="0" borderId="24" xfId="60" applyNumberFormat="1" applyFont="1" applyFill="1" applyBorder="1" applyAlignment="1">
      <alignment horizontal="center" vertical="center" wrapText="1"/>
    </xf>
    <xf numFmtId="178" fontId="3" fillId="0" borderId="24" xfId="6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2" fontId="4" fillId="0" borderId="11" xfId="60" applyNumberFormat="1" applyFont="1" applyFill="1" applyBorder="1" applyAlignment="1">
      <alignment horizontal="center" vertical="center" wrapText="1"/>
    </xf>
    <xf numFmtId="178" fontId="7" fillId="0" borderId="12" xfId="60" applyNumberFormat="1" applyFont="1" applyFill="1" applyBorder="1" applyAlignment="1">
      <alignment horizontal="center" vertical="top" wrapText="1"/>
    </xf>
    <xf numFmtId="178" fontId="8" fillId="0" borderId="12" xfId="60" applyNumberFormat="1" applyFont="1" applyFill="1" applyBorder="1" applyAlignment="1">
      <alignment horizontal="center" vertical="top" wrapText="1"/>
    </xf>
    <xf numFmtId="178" fontId="3" fillId="0" borderId="12" xfId="6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78" fontId="7" fillId="0" borderId="18" xfId="60" applyNumberFormat="1" applyFont="1" applyFill="1" applyBorder="1" applyAlignment="1">
      <alignment horizontal="center" wrapText="1"/>
    </xf>
    <xf numFmtId="178" fontId="7" fillId="0" borderId="18" xfId="60" applyNumberFormat="1" applyFont="1" applyFill="1" applyBorder="1" applyAlignment="1">
      <alignment horizontal="center" vertical="top" wrapText="1"/>
    </xf>
    <xf numFmtId="178" fontId="8" fillId="0" borderId="18" xfId="60" applyNumberFormat="1" applyFont="1" applyFill="1" applyBorder="1" applyAlignment="1">
      <alignment horizontal="center" vertical="top" wrapText="1"/>
    </xf>
    <xf numFmtId="178" fontId="4" fillId="0" borderId="18" xfId="6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178" fontId="8" fillId="0" borderId="19" xfId="60" applyNumberFormat="1" applyFont="1" applyFill="1" applyBorder="1" applyAlignment="1">
      <alignment horizontal="center" vertical="top" wrapText="1"/>
    </xf>
    <xf numFmtId="178" fontId="8" fillId="0" borderId="29" xfId="60" applyNumberFormat="1" applyFont="1" applyFill="1" applyBorder="1" applyAlignment="1">
      <alignment horizontal="center" vertical="top" wrapText="1"/>
    </xf>
    <xf numFmtId="178" fontId="7" fillId="0" borderId="12" xfId="6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78" fontId="6" fillId="0" borderId="10" xfId="60" applyNumberFormat="1" applyFont="1" applyFill="1" applyBorder="1" applyAlignment="1">
      <alignment horizontal="center" vertical="top" wrapText="1"/>
    </xf>
    <xf numFmtId="178" fontId="9" fillId="0" borderId="10" xfId="6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78" fontId="7" fillId="0" borderId="13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top" wrapText="1"/>
    </xf>
    <xf numFmtId="178" fontId="8" fillId="0" borderId="34" xfId="0" applyNumberFormat="1" applyFont="1" applyFill="1" applyBorder="1" applyAlignment="1">
      <alignment horizontal="center" vertical="center" wrapText="1"/>
    </xf>
    <xf numFmtId="178" fontId="8" fillId="0" borderId="35" xfId="0" applyNumberFormat="1" applyFont="1" applyFill="1" applyBorder="1" applyAlignment="1">
      <alignment horizontal="center" vertical="center" wrapText="1"/>
    </xf>
    <xf numFmtId="178" fontId="8" fillId="0" borderId="36" xfId="0" applyNumberFormat="1" applyFont="1" applyFill="1" applyBorder="1" applyAlignment="1">
      <alignment horizontal="center" vertical="center" wrapText="1"/>
    </xf>
    <xf numFmtId="178" fontId="8" fillId="0" borderId="37" xfId="0" applyNumberFormat="1" applyFont="1" applyFill="1" applyBorder="1" applyAlignment="1">
      <alignment horizontal="center" vertical="center" wrapText="1"/>
    </xf>
    <xf numFmtId="2" fontId="11" fillId="0" borderId="34" xfId="60" applyNumberFormat="1" applyFont="1" applyFill="1" applyBorder="1" applyAlignment="1">
      <alignment vertical="center" wrapText="1"/>
    </xf>
    <xf numFmtId="178" fontId="8" fillId="0" borderId="24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8" fontId="7" fillId="0" borderId="16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178" fontId="7" fillId="0" borderId="13" xfId="60" applyNumberFormat="1" applyFont="1" applyFill="1" applyBorder="1" applyAlignment="1">
      <alignment horizontal="center" vertical="center" wrapText="1"/>
    </xf>
    <xf numFmtId="178" fontId="3" fillId="0" borderId="13" xfId="6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7" fillId="0" borderId="16" xfId="60" applyNumberFormat="1" applyFont="1" applyFill="1" applyBorder="1" applyAlignment="1">
      <alignment horizontal="center" vertical="center" wrapText="1"/>
    </xf>
    <xf numFmtId="178" fontId="3" fillId="0" borderId="16" xfId="60" applyNumberFormat="1" applyFont="1" applyFill="1" applyBorder="1" applyAlignment="1">
      <alignment horizontal="center" vertical="center" wrapText="1"/>
    </xf>
    <xf numFmtId="2" fontId="3" fillId="0" borderId="16" xfId="6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3" fillId="0" borderId="18" xfId="6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top" wrapText="1"/>
    </xf>
    <xf numFmtId="190" fontId="7" fillId="0" borderId="10" xfId="60" applyNumberFormat="1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190" fontId="7" fillId="0" borderId="12" xfId="6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78" fontId="8" fillId="4" borderId="10" xfId="0" applyNumberFormat="1" applyFont="1" applyFill="1" applyBorder="1" applyAlignment="1">
      <alignment horizontal="center" vertical="top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4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/>
    </xf>
    <xf numFmtId="178" fontId="9" fillId="0" borderId="18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9" fontId="9" fillId="0" borderId="10" xfId="6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center" wrapText="1"/>
    </xf>
    <xf numFmtId="178" fontId="8" fillId="0" borderId="43" xfId="60" applyNumberFormat="1" applyFont="1" applyFill="1" applyBorder="1" applyAlignment="1">
      <alignment horizontal="center" vertical="center" wrapText="1"/>
    </xf>
    <xf numFmtId="178" fontId="8" fillId="0" borderId="44" xfId="6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8" fontId="8" fillId="0" borderId="16" xfId="6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top" wrapText="1"/>
    </xf>
    <xf numFmtId="178" fontId="7" fillId="0" borderId="19" xfId="60" applyNumberFormat="1" applyFont="1" applyFill="1" applyBorder="1" applyAlignment="1">
      <alignment horizontal="center" vertical="center" wrapText="1"/>
    </xf>
    <xf numFmtId="2" fontId="3" fillId="0" borderId="12" xfId="60" applyNumberFormat="1" applyFont="1" applyFill="1" applyBorder="1" applyAlignment="1">
      <alignment horizontal="center" vertical="center" wrapText="1"/>
    </xf>
    <xf numFmtId="2" fontId="3" fillId="0" borderId="26" xfId="60" applyNumberFormat="1" applyFont="1" applyFill="1" applyBorder="1" applyAlignment="1">
      <alignment horizontal="center" vertical="center" wrapText="1"/>
    </xf>
    <xf numFmtId="178" fontId="4" fillId="0" borderId="29" xfId="60" applyNumberFormat="1" applyFont="1" applyFill="1" applyBorder="1" applyAlignment="1">
      <alignment horizontal="center" vertical="center" wrapText="1"/>
    </xf>
    <xf numFmtId="2" fontId="4" fillId="0" borderId="26" xfId="60" applyNumberFormat="1" applyFont="1" applyFill="1" applyBorder="1" applyAlignment="1">
      <alignment horizontal="center" vertical="center" wrapText="1"/>
    </xf>
    <xf numFmtId="178" fontId="7" fillId="0" borderId="36" xfId="60" applyNumberFormat="1" applyFont="1" applyFill="1" applyBorder="1" applyAlignment="1">
      <alignment horizontal="center" vertical="center" wrapText="1"/>
    </xf>
    <xf numFmtId="178" fontId="3" fillId="0" borderId="19" xfId="60" applyNumberFormat="1" applyFont="1" applyFill="1" applyBorder="1" applyAlignment="1">
      <alignment horizontal="center" vertical="center" wrapText="1"/>
    </xf>
    <xf numFmtId="2" fontId="3" fillId="0" borderId="29" xfId="6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top" wrapText="1"/>
    </xf>
    <xf numFmtId="178" fontId="8" fillId="0" borderId="43" xfId="60" applyNumberFormat="1" applyFont="1" applyFill="1" applyBorder="1" applyAlignment="1">
      <alignment horizontal="center" vertical="top" wrapText="1"/>
    </xf>
    <xf numFmtId="178" fontId="8" fillId="0" borderId="44" xfId="60" applyNumberFormat="1" applyFont="1" applyFill="1" applyBorder="1" applyAlignment="1">
      <alignment horizontal="center" vertical="top" wrapText="1"/>
    </xf>
    <xf numFmtId="2" fontId="3" fillId="0" borderId="32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30" xfId="0" applyNumberFormat="1" applyFont="1" applyFill="1" applyBorder="1" applyAlignment="1">
      <alignment horizontal="left" vertical="top" wrapText="1"/>
    </xf>
    <xf numFmtId="0" fontId="6" fillId="0" borderId="4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6" borderId="27" xfId="0" applyFont="1" applyFill="1" applyBorder="1" applyAlignment="1">
      <alignment horizontal="center" vertical="top" wrapText="1"/>
    </xf>
    <xf numFmtId="0" fontId="9" fillId="6" borderId="45" xfId="0" applyFont="1" applyFill="1" applyBorder="1" applyAlignment="1">
      <alignment horizontal="center" vertical="top" wrapText="1"/>
    </xf>
    <xf numFmtId="0" fontId="9" fillId="6" borderId="28" xfId="0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4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78" fontId="8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28" xfId="0" applyFont="1" applyFill="1" applyBorder="1" applyAlignment="1">
      <alignment horizontal="center" vertical="top" wrapText="1"/>
    </xf>
    <xf numFmtId="0" fontId="9" fillId="0" borderId="30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25" xfId="0" applyFont="1" applyFill="1" applyBorder="1" applyAlignment="1">
      <alignment vertical="top" wrapTex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78" fontId="8" fillId="0" borderId="10" xfId="6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top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6" fontId="3" fillId="0" borderId="27" xfId="0" applyNumberFormat="1" applyFont="1" applyFill="1" applyBorder="1" applyAlignment="1">
      <alignment horizontal="center" vertical="top" wrapText="1"/>
    </xf>
    <xf numFmtId="16" fontId="3" fillId="0" borderId="28" xfId="0" applyNumberFormat="1" applyFont="1" applyFill="1" applyBorder="1" applyAlignment="1">
      <alignment horizontal="center" vertical="top" wrapText="1"/>
    </xf>
    <xf numFmtId="16" fontId="3" fillId="0" borderId="48" xfId="0" applyNumberFormat="1" applyFont="1" applyFill="1" applyBorder="1" applyAlignment="1">
      <alignment horizontal="center" vertical="top" wrapText="1"/>
    </xf>
    <xf numFmtId="16" fontId="3" fillId="0" borderId="41" xfId="0" applyNumberFormat="1" applyFont="1" applyFill="1" applyBorder="1" applyAlignment="1">
      <alignment horizontal="center" vertical="top" wrapText="1"/>
    </xf>
    <xf numFmtId="16" fontId="3" fillId="0" borderId="25" xfId="0" applyNumberFormat="1" applyFont="1" applyFill="1" applyBorder="1" applyAlignment="1">
      <alignment horizontal="center" vertical="top" wrapText="1"/>
    </xf>
    <xf numFmtId="16" fontId="3" fillId="0" borderId="3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178" fontId="8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178" fontId="8" fillId="0" borderId="3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16" fontId="5" fillId="0" borderId="12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15" fillId="0" borderId="27" xfId="0" applyNumberFormat="1" applyFont="1" applyFill="1" applyBorder="1" applyAlignment="1">
      <alignment horizontal="center" vertical="top" wrapText="1"/>
    </xf>
    <xf numFmtId="0" fontId="15" fillId="0" borderId="28" xfId="0" applyNumberFormat="1" applyFont="1" applyFill="1" applyBorder="1" applyAlignment="1">
      <alignment horizontal="center" vertical="top" wrapText="1"/>
    </xf>
    <xf numFmtId="0" fontId="15" fillId="0" borderId="48" xfId="0" applyNumberFormat="1" applyFont="1" applyFill="1" applyBorder="1" applyAlignment="1">
      <alignment horizontal="center" vertical="top" wrapText="1"/>
    </xf>
    <xf numFmtId="0" fontId="15" fillId="0" borderId="41" xfId="0" applyNumberFormat="1" applyFont="1" applyFill="1" applyBorder="1" applyAlignment="1">
      <alignment horizontal="center" vertical="top" wrapText="1"/>
    </xf>
    <xf numFmtId="0" fontId="15" fillId="0" borderId="25" xfId="0" applyNumberFormat="1" applyFont="1" applyFill="1" applyBorder="1" applyAlignment="1">
      <alignment horizontal="center" vertical="top" wrapText="1"/>
    </xf>
    <xf numFmtId="0" fontId="15" fillId="0" borderId="3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79" fontId="3" fillId="0" borderId="39" xfId="0" applyNumberFormat="1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24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24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vertical="top"/>
    </xf>
    <xf numFmtId="0" fontId="6" fillId="0" borderId="50" xfId="0" applyNumberFormat="1" applyFont="1" applyFill="1" applyBorder="1" applyAlignment="1">
      <alignment vertical="top"/>
    </xf>
    <xf numFmtId="0" fontId="6" fillId="0" borderId="42" xfId="0" applyNumberFormat="1" applyFont="1" applyFill="1" applyBorder="1" applyAlignment="1">
      <alignment vertical="top"/>
    </xf>
    <xf numFmtId="0" fontId="3" fillId="0" borderId="43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top"/>
    </xf>
    <xf numFmtId="49" fontId="6" fillId="0" borderId="50" xfId="0" applyNumberFormat="1" applyFont="1" applyFill="1" applyBorder="1" applyAlignment="1">
      <alignment horizontal="center" vertical="top"/>
    </xf>
    <xf numFmtId="49" fontId="6" fillId="0" borderId="42" xfId="0" applyNumberFormat="1" applyFont="1" applyFill="1" applyBorder="1" applyAlignment="1">
      <alignment horizontal="center" vertical="top"/>
    </xf>
    <xf numFmtId="16" fontId="4" fillId="0" borderId="1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wrapText="1"/>
    </xf>
    <xf numFmtId="0" fontId="6" fillId="0" borderId="48" xfId="0" applyFont="1" applyFill="1" applyBorder="1" applyAlignment="1">
      <alignment horizontal="center" vertical="top" wrapText="1"/>
    </xf>
    <xf numFmtId="0" fontId="0" fillId="0" borderId="41" xfId="0" applyFill="1" applyBorder="1" applyAlignment="1">
      <alignment wrapText="1"/>
    </xf>
    <xf numFmtId="0" fontId="6" fillId="0" borderId="25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wrapText="1"/>
    </xf>
    <xf numFmtId="0" fontId="9" fillId="0" borderId="30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4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16" fontId="6" fillId="0" borderId="27" xfId="0" applyNumberFormat="1" applyFont="1" applyFill="1" applyBorder="1" applyAlignment="1">
      <alignment horizontal="left" vertical="top" wrapText="1"/>
    </xf>
    <xf numFmtId="16" fontId="6" fillId="0" borderId="28" xfId="0" applyNumberFormat="1" applyFont="1" applyFill="1" applyBorder="1" applyAlignment="1">
      <alignment horizontal="left" vertical="top" wrapText="1"/>
    </xf>
    <xf numFmtId="16" fontId="6" fillId="0" borderId="48" xfId="0" applyNumberFormat="1" applyFont="1" applyFill="1" applyBorder="1" applyAlignment="1">
      <alignment horizontal="left" vertical="top" wrapText="1"/>
    </xf>
    <xf numFmtId="16" fontId="6" fillId="0" borderId="41" xfId="0" applyNumberFormat="1" applyFont="1" applyFill="1" applyBorder="1" applyAlignment="1">
      <alignment horizontal="left" vertical="top" wrapText="1"/>
    </xf>
    <xf numFmtId="16" fontId="6" fillId="0" borderId="25" xfId="0" applyNumberFormat="1" applyFont="1" applyFill="1" applyBorder="1" applyAlignment="1">
      <alignment horizontal="left" vertical="top" wrapText="1"/>
    </xf>
    <xf numFmtId="16" fontId="6" fillId="0" borderId="32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3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16" fontId="9" fillId="0" borderId="30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8" fillId="0" borderId="48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5"/>
  <sheetViews>
    <sheetView tabSelected="1" zoomScale="50" zoomScaleNormal="50" zoomScaleSheetLayoutView="50" zoomScalePageLayoutView="50" workbookViewId="0" topLeftCell="A1">
      <selection activeCell="G8" sqref="G8:G9"/>
    </sheetView>
  </sheetViews>
  <sheetFormatPr defaultColWidth="9.125" defaultRowHeight="12.75"/>
  <cols>
    <col min="1" max="1" width="8.75390625" style="54" customWidth="1"/>
    <col min="2" max="2" width="38.50390625" style="76" customWidth="1"/>
    <col min="3" max="3" width="15.375" style="76" customWidth="1"/>
    <col min="4" max="4" width="16.00390625" style="76" customWidth="1"/>
    <col min="5" max="5" width="24.625" style="76" customWidth="1"/>
    <col min="6" max="6" width="23.625" style="76" customWidth="1"/>
    <col min="7" max="7" width="26.50390625" style="76" customWidth="1"/>
    <col min="8" max="8" width="21.125" style="76" customWidth="1"/>
    <col min="9" max="9" width="24.50390625" style="76" customWidth="1"/>
    <col min="10" max="10" width="25.50390625" style="76" customWidth="1"/>
    <col min="11" max="11" width="16.50390625" style="76" customWidth="1"/>
    <col min="12" max="12" width="32.00390625" style="84" customWidth="1"/>
    <col min="13" max="13" width="57.25390625" style="83" customWidth="1"/>
    <col min="14" max="14" width="30.875" style="50" customWidth="1"/>
    <col min="15" max="16384" width="9.125" style="50" customWidth="1"/>
  </cols>
  <sheetData>
    <row r="1" spans="11:13" ht="33.75" customHeight="1">
      <c r="K1" s="291" t="s">
        <v>161</v>
      </c>
      <c r="L1" s="291"/>
      <c r="M1" s="291"/>
    </row>
    <row r="2" spans="11:13" ht="30.75" customHeight="1">
      <c r="K2" s="291" t="s">
        <v>162</v>
      </c>
      <c r="L2" s="291"/>
      <c r="M2" s="291"/>
    </row>
    <row r="3" spans="1:13" s="76" customFormat="1" ht="19.5" customHeight="1">
      <c r="A3" s="82"/>
      <c r="B3" s="292" t="s">
        <v>280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83"/>
    </row>
    <row r="4" spans="1:13" s="76" customFormat="1" ht="18">
      <c r="A4" s="82"/>
      <c r="J4" s="76" t="s">
        <v>16</v>
      </c>
      <c r="L4" s="84"/>
      <c r="M4" s="83"/>
    </row>
    <row r="5" spans="1:13" s="76" customFormat="1" ht="28.5" customHeight="1">
      <c r="A5" s="293"/>
      <c r="B5" s="294" t="s">
        <v>8</v>
      </c>
      <c r="C5" s="294"/>
      <c r="D5" s="294" t="s">
        <v>9</v>
      </c>
      <c r="E5" s="294" t="s">
        <v>0</v>
      </c>
      <c r="F5" s="294" t="s">
        <v>13</v>
      </c>
      <c r="G5" s="294"/>
      <c r="H5" s="294"/>
      <c r="I5" s="294"/>
      <c r="J5" s="294"/>
      <c r="K5" s="294" t="s">
        <v>14</v>
      </c>
      <c r="L5" s="294" t="s">
        <v>1</v>
      </c>
      <c r="M5" s="295" t="s">
        <v>233</v>
      </c>
    </row>
    <row r="6" spans="1:13" s="76" customFormat="1" ht="28.5" customHeight="1">
      <c r="A6" s="293"/>
      <c r="B6" s="294"/>
      <c r="C6" s="294"/>
      <c r="D6" s="294"/>
      <c r="E6" s="294"/>
      <c r="F6" s="294" t="s">
        <v>11</v>
      </c>
      <c r="G6" s="294" t="s">
        <v>98</v>
      </c>
      <c r="H6" s="294"/>
      <c r="I6" s="294"/>
      <c r="J6" s="294"/>
      <c r="K6" s="294"/>
      <c r="L6" s="294"/>
      <c r="M6" s="296"/>
    </row>
    <row r="7" spans="1:13" s="76" customFormat="1" ht="28.5" customHeight="1">
      <c r="A7" s="293"/>
      <c r="B7" s="294"/>
      <c r="C7" s="294"/>
      <c r="D7" s="294"/>
      <c r="E7" s="294"/>
      <c r="F7" s="294"/>
      <c r="G7" s="294" t="s">
        <v>101</v>
      </c>
      <c r="H7" s="294"/>
      <c r="I7" s="294"/>
      <c r="J7" s="294" t="s">
        <v>97</v>
      </c>
      <c r="K7" s="294"/>
      <c r="L7" s="294"/>
      <c r="M7" s="296"/>
    </row>
    <row r="8" spans="1:13" s="76" customFormat="1" ht="28.5" customHeight="1">
      <c r="A8" s="293"/>
      <c r="B8" s="294"/>
      <c r="C8" s="294"/>
      <c r="D8" s="294"/>
      <c r="E8" s="294"/>
      <c r="F8" s="294"/>
      <c r="G8" s="294" t="s">
        <v>99</v>
      </c>
      <c r="H8" s="294" t="s">
        <v>100</v>
      </c>
      <c r="I8" s="294"/>
      <c r="J8" s="294"/>
      <c r="K8" s="294"/>
      <c r="L8" s="294"/>
      <c r="M8" s="296"/>
    </row>
    <row r="9" spans="1:13" s="76" customFormat="1" ht="73.5" customHeight="1">
      <c r="A9" s="293"/>
      <c r="B9" s="294"/>
      <c r="C9" s="294"/>
      <c r="D9" s="294"/>
      <c r="E9" s="294"/>
      <c r="F9" s="294"/>
      <c r="G9" s="294"/>
      <c r="H9" s="4" t="s">
        <v>102</v>
      </c>
      <c r="I9" s="4" t="s">
        <v>103</v>
      </c>
      <c r="J9" s="294"/>
      <c r="K9" s="294"/>
      <c r="L9" s="294"/>
      <c r="M9" s="297"/>
    </row>
    <row r="10" spans="1:13" s="86" customFormat="1" ht="21">
      <c r="A10" s="85">
        <v>1</v>
      </c>
      <c r="B10" s="315">
        <v>2</v>
      </c>
      <c r="C10" s="315"/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38">
        <v>12</v>
      </c>
    </row>
    <row r="11" spans="1:13" s="261" customFormat="1" ht="24" customHeight="1">
      <c r="A11" s="316" t="s">
        <v>29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8"/>
    </row>
    <row r="12" spans="1:13" s="84" customFormat="1" ht="51" customHeight="1">
      <c r="A12" s="309" t="s">
        <v>269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</row>
    <row r="13" spans="1:13" s="86" customFormat="1" ht="95.25" customHeight="1">
      <c r="A13" s="312" t="s">
        <v>275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4"/>
    </row>
    <row r="14" spans="1:13" s="86" customFormat="1" ht="21" thickBot="1">
      <c r="A14" s="326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8"/>
    </row>
    <row r="15" spans="1:13" s="86" customFormat="1" ht="70.5" customHeight="1" thickBot="1">
      <c r="A15" s="298" t="s">
        <v>234</v>
      </c>
      <c r="B15" s="301" t="s">
        <v>270</v>
      </c>
      <c r="C15" s="197" t="s">
        <v>99</v>
      </c>
      <c r="D15" s="197">
        <v>2020</v>
      </c>
      <c r="E15" s="183">
        <f aca="true" t="shared" si="0" ref="E15:J15">E17+E18+E21+E22</f>
        <v>1128.3</v>
      </c>
      <c r="F15" s="183">
        <f t="shared" si="0"/>
        <v>0</v>
      </c>
      <c r="G15" s="183">
        <f t="shared" si="0"/>
        <v>1117</v>
      </c>
      <c r="H15" s="183">
        <f t="shared" si="0"/>
        <v>1117</v>
      </c>
      <c r="I15" s="183">
        <f t="shared" si="0"/>
        <v>0</v>
      </c>
      <c r="J15" s="183">
        <f t="shared" si="0"/>
        <v>11.299999999999997</v>
      </c>
      <c r="K15" s="183">
        <f>K17+K18+K21+K22</f>
        <v>0</v>
      </c>
      <c r="L15" s="197" t="s">
        <v>46</v>
      </c>
      <c r="M15" s="304" t="s">
        <v>267</v>
      </c>
    </row>
    <row r="16" spans="1:13" s="86" customFormat="1" ht="70.5" customHeight="1" thickBot="1">
      <c r="A16" s="299"/>
      <c r="B16" s="302"/>
      <c r="C16" s="197" t="s">
        <v>264</v>
      </c>
      <c r="D16" s="197">
        <v>2021</v>
      </c>
      <c r="E16" s="183">
        <f aca="true" t="shared" si="1" ref="E16:J16">E19+E20</f>
        <v>1138.3000000000002</v>
      </c>
      <c r="F16" s="183">
        <f t="shared" si="1"/>
        <v>0</v>
      </c>
      <c r="G16" s="183">
        <f t="shared" si="1"/>
        <v>1126.9</v>
      </c>
      <c r="H16" s="183">
        <f t="shared" si="1"/>
        <v>1126.9</v>
      </c>
      <c r="I16" s="183">
        <f t="shared" si="1"/>
        <v>0</v>
      </c>
      <c r="J16" s="183">
        <f t="shared" si="1"/>
        <v>11.4</v>
      </c>
      <c r="K16" s="183">
        <f>K19+K20</f>
        <v>0</v>
      </c>
      <c r="L16" s="197"/>
      <c r="M16" s="305"/>
    </row>
    <row r="17" spans="1:13" s="86" customFormat="1" ht="57" customHeight="1">
      <c r="A17" s="299"/>
      <c r="B17" s="302"/>
      <c r="C17" s="179" t="s">
        <v>46</v>
      </c>
      <c r="D17" s="179">
        <v>2020</v>
      </c>
      <c r="E17" s="182">
        <f aca="true" t="shared" si="2" ref="E17:E22">F17+G17+J17+K17</f>
        <v>0</v>
      </c>
      <c r="F17" s="183"/>
      <c r="G17" s="182">
        <f aca="true" t="shared" si="3" ref="G17:G22">H17+I17</f>
        <v>0</v>
      </c>
      <c r="H17" s="182">
        <f>557-557</f>
        <v>0</v>
      </c>
      <c r="I17" s="182">
        <v>0</v>
      </c>
      <c r="J17" s="182">
        <f>83.33-83.33</f>
        <v>0</v>
      </c>
      <c r="K17" s="245">
        <v>0</v>
      </c>
      <c r="L17" s="179" t="s">
        <v>46</v>
      </c>
      <c r="M17" s="305"/>
    </row>
    <row r="18" spans="1:13" s="86" customFormat="1" ht="52.5" customHeight="1" thickBot="1">
      <c r="A18" s="299"/>
      <c r="B18" s="302"/>
      <c r="C18" s="180" t="s">
        <v>47</v>
      </c>
      <c r="D18" s="180">
        <v>2020</v>
      </c>
      <c r="E18" s="26">
        <f t="shared" si="2"/>
        <v>1128.3</v>
      </c>
      <c r="F18" s="24"/>
      <c r="G18" s="26">
        <f t="shared" si="3"/>
        <v>1117</v>
      </c>
      <c r="H18" s="26">
        <f>560+557</f>
        <v>1117</v>
      </c>
      <c r="I18" s="26">
        <v>0</v>
      </c>
      <c r="J18" s="26">
        <f>83.678-72.378</f>
        <v>11.299999999999997</v>
      </c>
      <c r="K18" s="33">
        <v>0</v>
      </c>
      <c r="L18" s="180" t="s">
        <v>47</v>
      </c>
      <c r="M18" s="305"/>
    </row>
    <row r="19" spans="1:13" s="86" customFormat="1" ht="60" customHeight="1">
      <c r="A19" s="299"/>
      <c r="B19" s="302"/>
      <c r="C19" s="179" t="s">
        <v>46</v>
      </c>
      <c r="D19" s="180">
        <v>2021</v>
      </c>
      <c r="E19" s="26">
        <f t="shared" si="2"/>
        <v>1138.3000000000002</v>
      </c>
      <c r="F19" s="24"/>
      <c r="G19" s="26">
        <f t="shared" si="3"/>
        <v>1126.9</v>
      </c>
      <c r="H19" s="26">
        <f>561.9+565</f>
        <v>1126.9</v>
      </c>
      <c r="I19" s="26">
        <v>0</v>
      </c>
      <c r="J19" s="26">
        <v>11.4</v>
      </c>
      <c r="K19" s="33">
        <v>0</v>
      </c>
      <c r="L19" s="179" t="s">
        <v>46</v>
      </c>
      <c r="M19" s="305"/>
    </row>
    <row r="20" spans="1:13" s="86" customFormat="1" ht="48.75" customHeight="1" thickBot="1">
      <c r="A20" s="300"/>
      <c r="B20" s="303"/>
      <c r="C20" s="180" t="s">
        <v>47</v>
      </c>
      <c r="D20" s="180">
        <v>2021</v>
      </c>
      <c r="E20" s="26">
        <f t="shared" si="2"/>
        <v>0</v>
      </c>
      <c r="F20" s="24"/>
      <c r="G20" s="26">
        <f t="shared" si="3"/>
        <v>0</v>
      </c>
      <c r="H20" s="26">
        <f>565-565</f>
        <v>0</v>
      </c>
      <c r="I20" s="26">
        <v>0</v>
      </c>
      <c r="J20" s="26">
        <v>0</v>
      </c>
      <c r="K20" s="33">
        <v>0</v>
      </c>
      <c r="L20" s="180" t="s">
        <v>47</v>
      </c>
      <c r="M20" s="305"/>
    </row>
    <row r="21" spans="1:13" s="86" customFormat="1" ht="69" customHeight="1">
      <c r="A21" s="298" t="s">
        <v>235</v>
      </c>
      <c r="B21" s="307" t="s">
        <v>236</v>
      </c>
      <c r="C21" s="179" t="s">
        <v>46</v>
      </c>
      <c r="D21" s="1">
        <v>2020</v>
      </c>
      <c r="E21" s="26">
        <f t="shared" si="2"/>
        <v>0</v>
      </c>
      <c r="F21" s="7"/>
      <c r="G21" s="26">
        <f t="shared" si="3"/>
        <v>0</v>
      </c>
      <c r="H21" s="9">
        <v>0</v>
      </c>
      <c r="I21" s="9">
        <v>0</v>
      </c>
      <c r="J21" s="9">
        <v>0</v>
      </c>
      <c r="K21" s="9">
        <v>0</v>
      </c>
      <c r="L21" s="179" t="s">
        <v>46</v>
      </c>
      <c r="M21" s="305"/>
    </row>
    <row r="22" spans="1:13" s="86" customFormat="1" ht="81" customHeight="1" thickBot="1">
      <c r="A22" s="300"/>
      <c r="B22" s="308"/>
      <c r="C22" s="180" t="s">
        <v>47</v>
      </c>
      <c r="D22" s="1">
        <v>2020</v>
      </c>
      <c r="E22" s="26">
        <f t="shared" si="2"/>
        <v>0</v>
      </c>
      <c r="F22" s="7"/>
      <c r="G22" s="26">
        <f t="shared" si="3"/>
        <v>0</v>
      </c>
      <c r="H22" s="9">
        <v>0</v>
      </c>
      <c r="I22" s="9">
        <v>0</v>
      </c>
      <c r="J22" s="9">
        <v>0</v>
      </c>
      <c r="K22" s="9">
        <v>0</v>
      </c>
      <c r="L22" s="180" t="s">
        <v>47</v>
      </c>
      <c r="M22" s="306"/>
    </row>
    <row r="23" spans="1:13" s="86" customFormat="1" ht="30.75" customHeight="1">
      <c r="A23" s="298" t="s">
        <v>237</v>
      </c>
      <c r="B23" s="324" t="s">
        <v>271</v>
      </c>
      <c r="C23" s="246"/>
      <c r="D23" s="197">
        <v>2021</v>
      </c>
      <c r="E23" s="137">
        <f aca="true" t="shared" si="4" ref="E23:K23">E24</f>
        <v>1149.4</v>
      </c>
      <c r="F23" s="137">
        <f t="shared" si="4"/>
        <v>0</v>
      </c>
      <c r="G23" s="137">
        <f t="shared" si="4"/>
        <v>1000</v>
      </c>
      <c r="H23" s="137">
        <f t="shared" si="4"/>
        <v>1000</v>
      </c>
      <c r="I23" s="137">
        <f t="shared" si="4"/>
        <v>0</v>
      </c>
      <c r="J23" s="137">
        <f t="shared" si="4"/>
        <v>149.4</v>
      </c>
      <c r="K23" s="137">
        <f t="shared" si="4"/>
        <v>0</v>
      </c>
      <c r="L23" s="80"/>
      <c r="M23" s="325" t="s">
        <v>268</v>
      </c>
    </row>
    <row r="24" spans="1:13" s="86" customFormat="1" ht="65.25" customHeight="1">
      <c r="A24" s="299"/>
      <c r="B24" s="324"/>
      <c r="C24" s="180" t="s">
        <v>47</v>
      </c>
      <c r="D24" s="4">
        <v>2021</v>
      </c>
      <c r="E24" s="26">
        <f>F24+G24+J24+K24</f>
        <v>1149.4</v>
      </c>
      <c r="F24" s="24"/>
      <c r="G24" s="26">
        <f>H24+I24</f>
        <v>1000</v>
      </c>
      <c r="H24" s="26">
        <v>1000</v>
      </c>
      <c r="I24" s="26"/>
      <c r="J24" s="26">
        <v>149.4</v>
      </c>
      <c r="K24" s="35"/>
      <c r="L24" s="180" t="s">
        <v>47</v>
      </c>
      <c r="M24" s="289"/>
    </row>
    <row r="25" spans="1:13" s="86" customFormat="1" ht="33" customHeight="1">
      <c r="A25" s="299"/>
      <c r="B25" s="324"/>
      <c r="C25" s="247"/>
      <c r="D25" s="108">
        <v>2022</v>
      </c>
      <c r="E25" s="24">
        <f aca="true" t="shared" si="5" ref="E25:K25">E26</f>
        <v>1092</v>
      </c>
      <c r="F25" s="24">
        <f t="shared" si="5"/>
        <v>0</v>
      </c>
      <c r="G25" s="24">
        <f t="shared" si="5"/>
        <v>950</v>
      </c>
      <c r="H25" s="24">
        <f t="shared" si="5"/>
        <v>950</v>
      </c>
      <c r="I25" s="24">
        <f t="shared" si="5"/>
        <v>0</v>
      </c>
      <c r="J25" s="24">
        <f t="shared" si="5"/>
        <v>142</v>
      </c>
      <c r="K25" s="24">
        <f t="shared" si="5"/>
        <v>0</v>
      </c>
      <c r="L25" s="247"/>
      <c r="M25" s="289"/>
    </row>
    <row r="26" spans="1:13" s="86" customFormat="1" ht="64.5" customHeight="1" thickBot="1">
      <c r="A26" s="300"/>
      <c r="B26" s="308"/>
      <c r="C26" s="198" t="s">
        <v>46</v>
      </c>
      <c r="D26" s="4">
        <v>2022</v>
      </c>
      <c r="E26" s="199">
        <f>F26+G26+J26+K26</f>
        <v>1092</v>
      </c>
      <c r="F26" s="185"/>
      <c r="G26" s="199">
        <f>H26+I26</f>
        <v>950</v>
      </c>
      <c r="H26" s="199">
        <v>950</v>
      </c>
      <c r="I26" s="199"/>
      <c r="J26" s="199">
        <v>142</v>
      </c>
      <c r="K26" s="186"/>
      <c r="L26" s="198" t="s">
        <v>46</v>
      </c>
      <c r="M26" s="290"/>
    </row>
    <row r="27" spans="1:13" s="86" customFormat="1" ht="127.5" customHeight="1">
      <c r="A27" s="298" t="s">
        <v>238</v>
      </c>
      <c r="B27" s="301" t="s">
        <v>272</v>
      </c>
      <c r="C27" s="1" t="s">
        <v>46</v>
      </c>
      <c r="D27" s="4">
        <v>2021</v>
      </c>
      <c r="E27" s="46">
        <f>F27+G27+J27+K27</f>
        <v>0</v>
      </c>
      <c r="F27" s="46">
        <v>0</v>
      </c>
      <c r="G27" s="46">
        <f>H27+I27</f>
        <v>0</v>
      </c>
      <c r="H27" s="46">
        <v>0</v>
      </c>
      <c r="I27" s="46">
        <v>0</v>
      </c>
      <c r="J27" s="46">
        <v>0</v>
      </c>
      <c r="K27" s="46">
        <v>0</v>
      </c>
      <c r="L27" s="1" t="s">
        <v>46</v>
      </c>
      <c r="M27" s="322" t="s">
        <v>266</v>
      </c>
    </row>
    <row r="28" spans="1:13" s="86" customFormat="1" ht="125.25" customHeight="1">
      <c r="A28" s="300"/>
      <c r="B28" s="303"/>
      <c r="C28" s="1" t="s">
        <v>239</v>
      </c>
      <c r="D28" s="4">
        <v>2022</v>
      </c>
      <c r="E28" s="46">
        <f>F28+G28+J28+K28</f>
        <v>0</v>
      </c>
      <c r="F28" s="46">
        <v>0</v>
      </c>
      <c r="G28" s="46">
        <f>H28+I28</f>
        <v>0</v>
      </c>
      <c r="H28" s="46">
        <v>0</v>
      </c>
      <c r="I28" s="46">
        <v>0</v>
      </c>
      <c r="J28" s="46">
        <v>0</v>
      </c>
      <c r="K28" s="46">
        <v>0</v>
      </c>
      <c r="L28" s="1" t="s">
        <v>239</v>
      </c>
      <c r="M28" s="323"/>
    </row>
    <row r="29" spans="1:13" s="86" customFormat="1" ht="61.5" customHeight="1">
      <c r="A29" s="330" t="s">
        <v>243</v>
      </c>
      <c r="B29" s="333" t="s">
        <v>274</v>
      </c>
      <c r="C29" s="254"/>
      <c r="D29" s="255" t="s">
        <v>244</v>
      </c>
      <c r="E29" s="256">
        <f aca="true" t="shared" si="6" ref="E29:J29">E30+E31+E32+E33+E34+E35+E36+E37+E38</f>
        <v>4554.2</v>
      </c>
      <c r="F29" s="256">
        <f t="shared" si="6"/>
        <v>0</v>
      </c>
      <c r="G29" s="256">
        <f t="shared" si="6"/>
        <v>4509.2</v>
      </c>
      <c r="H29" s="256">
        <f t="shared" si="6"/>
        <v>4509.2</v>
      </c>
      <c r="I29" s="256">
        <f t="shared" si="6"/>
        <v>0</v>
      </c>
      <c r="J29" s="256">
        <f t="shared" si="6"/>
        <v>45</v>
      </c>
      <c r="K29" s="256">
        <f>K30+K31+K32+K33+K34+K35+K36+K37+K38</f>
        <v>0</v>
      </c>
      <c r="L29" s="250"/>
      <c r="M29" s="319" t="s">
        <v>265</v>
      </c>
    </row>
    <row r="30" spans="1:13" s="86" customFormat="1" ht="66" customHeight="1">
      <c r="A30" s="331"/>
      <c r="B30" s="334"/>
      <c r="C30" s="253" t="s">
        <v>46</v>
      </c>
      <c r="D30" s="253" t="s">
        <v>244</v>
      </c>
      <c r="E30" s="9">
        <f aca="true" t="shared" si="7" ref="E30:E38">F30+G30+J30+K30</f>
        <v>4554.2</v>
      </c>
      <c r="F30" s="257"/>
      <c r="G30" s="9">
        <f aca="true" t="shared" si="8" ref="G30:G38">H30+I30</f>
        <v>4509.2</v>
      </c>
      <c r="H30" s="9">
        <v>4509.2</v>
      </c>
      <c r="I30" s="9">
        <v>0</v>
      </c>
      <c r="J30" s="9">
        <f>45</f>
        <v>45</v>
      </c>
      <c r="K30" s="9">
        <v>0</v>
      </c>
      <c r="L30" s="1" t="s">
        <v>46</v>
      </c>
      <c r="M30" s="320"/>
    </row>
    <row r="31" spans="1:13" s="86" customFormat="1" ht="69.75" customHeight="1">
      <c r="A31" s="332"/>
      <c r="B31" s="335"/>
      <c r="C31" s="253" t="s">
        <v>47</v>
      </c>
      <c r="D31" s="253" t="s">
        <v>244</v>
      </c>
      <c r="E31" s="9">
        <f t="shared" si="7"/>
        <v>0</v>
      </c>
      <c r="F31" s="258"/>
      <c r="G31" s="9">
        <f t="shared" si="8"/>
        <v>0</v>
      </c>
      <c r="H31" s="257">
        <v>0</v>
      </c>
      <c r="I31" s="257">
        <v>0</v>
      </c>
      <c r="J31" s="257">
        <v>0</v>
      </c>
      <c r="K31" s="257">
        <v>0</v>
      </c>
      <c r="L31" s="1" t="s">
        <v>239</v>
      </c>
      <c r="M31" s="320"/>
    </row>
    <row r="32" spans="1:13" s="86" customFormat="1" ht="203.25" customHeight="1">
      <c r="A32" s="251" t="s">
        <v>245</v>
      </c>
      <c r="B32" s="259" t="s">
        <v>246</v>
      </c>
      <c r="C32" s="253" t="s">
        <v>46</v>
      </c>
      <c r="D32" s="253" t="s">
        <v>244</v>
      </c>
      <c r="E32" s="46">
        <f t="shared" si="7"/>
        <v>0</v>
      </c>
      <c r="F32" s="256">
        <v>0</v>
      </c>
      <c r="G32" s="9">
        <f t="shared" si="8"/>
        <v>0</v>
      </c>
      <c r="H32" s="256">
        <v>0</v>
      </c>
      <c r="I32" s="256">
        <v>0</v>
      </c>
      <c r="J32" s="256">
        <v>0</v>
      </c>
      <c r="K32" s="256">
        <v>0</v>
      </c>
      <c r="L32" s="253" t="s">
        <v>46</v>
      </c>
      <c r="M32" s="320"/>
    </row>
    <row r="33" spans="1:13" s="86" customFormat="1" ht="117" customHeight="1">
      <c r="A33" s="251" t="s">
        <v>247</v>
      </c>
      <c r="B33" s="252" t="s">
        <v>248</v>
      </c>
      <c r="C33" s="253" t="s">
        <v>46</v>
      </c>
      <c r="D33" s="255" t="s">
        <v>244</v>
      </c>
      <c r="E33" s="46">
        <f t="shared" si="7"/>
        <v>0</v>
      </c>
      <c r="F33" s="256">
        <v>0</v>
      </c>
      <c r="G33" s="46">
        <f t="shared" si="8"/>
        <v>0</v>
      </c>
      <c r="H33" s="256">
        <v>0</v>
      </c>
      <c r="I33" s="256">
        <v>0</v>
      </c>
      <c r="J33" s="256">
        <v>0</v>
      </c>
      <c r="K33" s="256">
        <v>0</v>
      </c>
      <c r="L33" s="253" t="s">
        <v>46</v>
      </c>
      <c r="M33" s="320"/>
    </row>
    <row r="34" spans="1:13" s="86" customFormat="1" ht="127.5" customHeight="1">
      <c r="A34" s="251" t="s">
        <v>249</v>
      </c>
      <c r="B34" s="176" t="s">
        <v>250</v>
      </c>
      <c r="C34" s="1" t="s">
        <v>251</v>
      </c>
      <c r="D34" s="4">
        <v>2021</v>
      </c>
      <c r="E34" s="46">
        <f t="shared" si="7"/>
        <v>0</v>
      </c>
      <c r="F34" s="256">
        <v>0</v>
      </c>
      <c r="G34" s="46">
        <f t="shared" si="8"/>
        <v>0</v>
      </c>
      <c r="H34" s="46">
        <v>0</v>
      </c>
      <c r="I34" s="46">
        <v>0</v>
      </c>
      <c r="J34" s="46">
        <v>0</v>
      </c>
      <c r="K34" s="46">
        <v>0</v>
      </c>
      <c r="L34" s="253" t="s">
        <v>46</v>
      </c>
      <c r="M34" s="320"/>
    </row>
    <row r="35" spans="1:13" s="86" customFormat="1" ht="247.5" customHeight="1">
      <c r="A35" s="251" t="s">
        <v>252</v>
      </c>
      <c r="B35" s="176" t="s">
        <v>253</v>
      </c>
      <c r="C35" s="1" t="s">
        <v>46</v>
      </c>
      <c r="D35" s="4">
        <v>2021</v>
      </c>
      <c r="E35" s="46">
        <f t="shared" si="7"/>
        <v>0</v>
      </c>
      <c r="F35" s="256"/>
      <c r="G35" s="46">
        <f t="shared" si="8"/>
        <v>0</v>
      </c>
      <c r="H35" s="46">
        <v>0</v>
      </c>
      <c r="I35" s="46">
        <v>0</v>
      </c>
      <c r="J35" s="46">
        <v>0</v>
      </c>
      <c r="K35" s="46">
        <v>0</v>
      </c>
      <c r="L35" s="253" t="s">
        <v>46</v>
      </c>
      <c r="M35" s="320"/>
    </row>
    <row r="36" spans="1:13" s="86" customFormat="1" ht="177" customHeight="1">
      <c r="A36" s="251" t="s">
        <v>254</v>
      </c>
      <c r="B36" s="176" t="s">
        <v>255</v>
      </c>
      <c r="C36" s="1" t="s">
        <v>46</v>
      </c>
      <c r="D36" s="4">
        <v>2021</v>
      </c>
      <c r="E36" s="46">
        <f t="shared" si="7"/>
        <v>0</v>
      </c>
      <c r="F36" s="256"/>
      <c r="G36" s="46">
        <f t="shared" si="8"/>
        <v>0</v>
      </c>
      <c r="H36" s="46">
        <v>0</v>
      </c>
      <c r="I36" s="46">
        <v>0</v>
      </c>
      <c r="J36" s="46">
        <v>0</v>
      </c>
      <c r="K36" s="46">
        <v>0</v>
      </c>
      <c r="L36" s="7"/>
      <c r="M36" s="320"/>
    </row>
    <row r="37" spans="1:13" s="86" customFormat="1" ht="155.25" customHeight="1">
      <c r="A37" s="251" t="s">
        <v>256</v>
      </c>
      <c r="B37" s="176" t="s">
        <v>257</v>
      </c>
      <c r="C37" s="1" t="s">
        <v>46</v>
      </c>
      <c r="D37" s="4">
        <v>2021</v>
      </c>
      <c r="E37" s="46">
        <f t="shared" si="7"/>
        <v>0</v>
      </c>
      <c r="F37" s="256"/>
      <c r="G37" s="46">
        <f t="shared" si="8"/>
        <v>0</v>
      </c>
      <c r="H37" s="46">
        <v>0</v>
      </c>
      <c r="I37" s="46">
        <v>0</v>
      </c>
      <c r="J37" s="46">
        <v>0</v>
      </c>
      <c r="K37" s="46">
        <v>0</v>
      </c>
      <c r="L37" s="253" t="s">
        <v>46</v>
      </c>
      <c r="M37" s="320"/>
    </row>
    <row r="38" spans="1:13" s="86" customFormat="1" ht="192" customHeight="1">
      <c r="A38" s="251" t="s">
        <v>258</v>
      </c>
      <c r="B38" s="176" t="s">
        <v>259</v>
      </c>
      <c r="C38" s="1" t="s">
        <v>46</v>
      </c>
      <c r="D38" s="4">
        <v>2021</v>
      </c>
      <c r="E38" s="46">
        <f t="shared" si="7"/>
        <v>0</v>
      </c>
      <c r="F38" s="260"/>
      <c r="G38" s="46">
        <f t="shared" si="8"/>
        <v>0</v>
      </c>
      <c r="H38" s="46">
        <v>0</v>
      </c>
      <c r="I38" s="46">
        <v>0</v>
      </c>
      <c r="J38" s="46">
        <v>0</v>
      </c>
      <c r="K38" s="46">
        <v>0</v>
      </c>
      <c r="L38" s="253" t="s">
        <v>46</v>
      </c>
      <c r="M38" s="321"/>
    </row>
    <row r="39" spans="1:13" s="262" customFormat="1" ht="159" customHeight="1">
      <c r="A39" s="298" t="s">
        <v>260</v>
      </c>
      <c r="B39" s="301" t="s">
        <v>273</v>
      </c>
      <c r="C39" s="4"/>
      <c r="D39" s="4">
        <v>2021</v>
      </c>
      <c r="E39" s="46">
        <f aca="true" t="shared" si="9" ref="E39:J39">E40</f>
        <v>0</v>
      </c>
      <c r="F39" s="46">
        <f t="shared" si="9"/>
        <v>0</v>
      </c>
      <c r="G39" s="46">
        <f t="shared" si="9"/>
        <v>0</v>
      </c>
      <c r="H39" s="46">
        <f t="shared" si="9"/>
        <v>0</v>
      </c>
      <c r="I39" s="46">
        <f t="shared" si="9"/>
        <v>0</v>
      </c>
      <c r="J39" s="46">
        <f t="shared" si="9"/>
        <v>0</v>
      </c>
      <c r="K39" s="46">
        <f>K40</f>
        <v>0</v>
      </c>
      <c r="L39" s="4"/>
      <c r="M39" s="112"/>
    </row>
    <row r="40" spans="1:13" s="262" customFormat="1" ht="143.25" customHeight="1">
      <c r="A40" s="300"/>
      <c r="B40" s="303"/>
      <c r="C40" s="1" t="s">
        <v>261</v>
      </c>
      <c r="D40" s="1">
        <v>2021</v>
      </c>
      <c r="E40" s="9">
        <f>F40+G40+J40+K40</f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4"/>
      <c r="M40" s="112"/>
    </row>
    <row r="41" spans="1:13" s="86" customFormat="1" ht="21">
      <c r="A41" s="85"/>
      <c r="B41" s="295" t="s">
        <v>262</v>
      </c>
      <c r="C41" s="7"/>
      <c r="D41" s="7">
        <v>2020</v>
      </c>
      <c r="E41" s="263">
        <f aca="true" t="shared" si="10" ref="E41:J41">E15</f>
        <v>1128.3</v>
      </c>
      <c r="F41" s="263">
        <f t="shared" si="10"/>
        <v>0</v>
      </c>
      <c r="G41" s="263">
        <f t="shared" si="10"/>
        <v>1117</v>
      </c>
      <c r="H41" s="263">
        <f t="shared" si="10"/>
        <v>1117</v>
      </c>
      <c r="I41" s="263">
        <f t="shared" si="10"/>
        <v>0</v>
      </c>
      <c r="J41" s="263">
        <f t="shared" si="10"/>
        <v>11.299999999999997</v>
      </c>
      <c r="K41" s="263">
        <f>K15</f>
        <v>0</v>
      </c>
      <c r="L41" s="7"/>
      <c r="M41" s="38"/>
    </row>
    <row r="42" spans="1:13" s="86" customFormat="1" ht="21">
      <c r="A42" s="85"/>
      <c r="B42" s="296"/>
      <c r="C42" s="7"/>
      <c r="D42" s="7">
        <v>2021</v>
      </c>
      <c r="E42" s="263">
        <f aca="true" t="shared" si="11" ref="E42:K42">E23+E27+E29+E39+E16</f>
        <v>6841.900000000001</v>
      </c>
      <c r="F42" s="263">
        <f t="shared" si="11"/>
        <v>0</v>
      </c>
      <c r="G42" s="263">
        <f t="shared" si="11"/>
        <v>6636.1</v>
      </c>
      <c r="H42" s="263">
        <f t="shared" si="11"/>
        <v>6636.1</v>
      </c>
      <c r="I42" s="263">
        <f t="shared" si="11"/>
        <v>0</v>
      </c>
      <c r="J42" s="263">
        <f>J23+J27+J29+J39+J16</f>
        <v>205.8</v>
      </c>
      <c r="K42" s="263">
        <f t="shared" si="11"/>
        <v>0</v>
      </c>
      <c r="L42" s="7"/>
      <c r="M42" s="38"/>
    </row>
    <row r="43" spans="1:13" s="86" customFormat="1" ht="21">
      <c r="A43" s="85"/>
      <c r="B43" s="296"/>
      <c r="C43" s="7"/>
      <c r="D43" s="7">
        <v>2022</v>
      </c>
      <c r="E43" s="263">
        <f aca="true" t="shared" si="12" ref="E43:K43">E25+E28</f>
        <v>1092</v>
      </c>
      <c r="F43" s="263">
        <f t="shared" si="12"/>
        <v>0</v>
      </c>
      <c r="G43" s="263">
        <f t="shared" si="12"/>
        <v>950</v>
      </c>
      <c r="H43" s="263">
        <f t="shared" si="12"/>
        <v>950</v>
      </c>
      <c r="I43" s="263">
        <f t="shared" si="12"/>
        <v>0</v>
      </c>
      <c r="J43" s="263">
        <f t="shared" si="12"/>
        <v>142</v>
      </c>
      <c r="K43" s="263">
        <f t="shared" si="12"/>
        <v>0</v>
      </c>
      <c r="L43" s="7"/>
      <c r="M43" s="38"/>
    </row>
    <row r="44" spans="1:13" s="86" customFormat="1" ht="21">
      <c r="A44" s="85"/>
      <c r="B44" s="297"/>
      <c r="C44" s="7"/>
      <c r="D44" s="7">
        <v>2023</v>
      </c>
      <c r="E44" s="263">
        <f>F44+G44+J44+K44</f>
        <v>0</v>
      </c>
      <c r="F44" s="263">
        <v>0</v>
      </c>
      <c r="G44" s="263">
        <f>H44+I44</f>
        <v>0</v>
      </c>
      <c r="H44" s="263">
        <v>0</v>
      </c>
      <c r="I44" s="263">
        <v>0</v>
      </c>
      <c r="J44" s="263">
        <v>0</v>
      </c>
      <c r="K44" s="263">
        <v>0</v>
      </c>
      <c r="L44" s="7"/>
      <c r="M44" s="38"/>
    </row>
    <row r="45" spans="1:13" s="86" customFormat="1" ht="21">
      <c r="A45" s="85"/>
      <c r="B45" s="7" t="s">
        <v>263</v>
      </c>
      <c r="C45" s="7"/>
      <c r="D45" s="7"/>
      <c r="E45" s="263">
        <f>E41+E42+E43+E44</f>
        <v>9062.2</v>
      </c>
      <c r="F45" s="263">
        <f aca="true" t="shared" si="13" ref="F45:K45">F41+F42+F43+F44</f>
        <v>0</v>
      </c>
      <c r="G45" s="263">
        <f t="shared" si="13"/>
        <v>8703.1</v>
      </c>
      <c r="H45" s="263">
        <f t="shared" si="13"/>
        <v>8703.1</v>
      </c>
      <c r="I45" s="263">
        <f t="shared" si="13"/>
        <v>0</v>
      </c>
      <c r="J45" s="263">
        <f t="shared" si="13"/>
        <v>359.1</v>
      </c>
      <c r="K45" s="263">
        <f t="shared" si="13"/>
        <v>0</v>
      </c>
      <c r="L45" s="7"/>
      <c r="M45" s="38"/>
    </row>
    <row r="46" spans="1:13" s="76" customFormat="1" ht="24" customHeight="1" hidden="1">
      <c r="A46" s="338" t="s">
        <v>29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40"/>
    </row>
    <row r="47" spans="1:13" s="76" customFormat="1" ht="20.25" customHeight="1" hidden="1">
      <c r="A47" s="341" t="s">
        <v>71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3"/>
    </row>
    <row r="48" spans="1:13" s="76" customFormat="1" ht="86.25" customHeight="1" hidden="1">
      <c r="A48" s="344" t="s">
        <v>174</v>
      </c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6"/>
    </row>
    <row r="49" spans="1:13" s="76" customFormat="1" ht="25.5" customHeight="1" hidden="1">
      <c r="A49" s="341" t="s">
        <v>2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8"/>
    </row>
    <row r="50" spans="1:13" s="76" customFormat="1" ht="24.75" customHeight="1">
      <c r="A50" s="349" t="s">
        <v>72</v>
      </c>
      <c r="B50" s="350" t="s">
        <v>73</v>
      </c>
      <c r="C50" s="350"/>
      <c r="D50" s="295">
        <v>2017</v>
      </c>
      <c r="E50" s="329">
        <f>F50+G50+J50+K50</f>
        <v>0</v>
      </c>
      <c r="F50" s="329"/>
      <c r="G50" s="357">
        <f>H50+I50</f>
        <v>0</v>
      </c>
      <c r="H50" s="358"/>
      <c r="I50" s="358">
        <v>0</v>
      </c>
      <c r="J50" s="358">
        <v>0</v>
      </c>
      <c r="K50" s="336"/>
      <c r="L50" s="337" t="s">
        <v>3</v>
      </c>
      <c r="M50" s="350" t="s">
        <v>66</v>
      </c>
    </row>
    <row r="51" spans="1:13" s="76" customFormat="1" ht="21.75" customHeight="1">
      <c r="A51" s="349"/>
      <c r="B51" s="350"/>
      <c r="C51" s="350"/>
      <c r="D51" s="297"/>
      <c r="E51" s="329"/>
      <c r="F51" s="329"/>
      <c r="G51" s="357"/>
      <c r="H51" s="358"/>
      <c r="I51" s="358"/>
      <c r="J51" s="358"/>
      <c r="K51" s="336"/>
      <c r="L51" s="337"/>
      <c r="M51" s="350"/>
    </row>
    <row r="52" spans="1:13" s="76" customFormat="1" ht="24.75" customHeight="1">
      <c r="A52" s="349"/>
      <c r="B52" s="350"/>
      <c r="C52" s="350"/>
      <c r="D52" s="4">
        <v>2018</v>
      </c>
      <c r="E52" s="24">
        <f>F52+G52+J52+K52</f>
        <v>0</v>
      </c>
      <c r="F52" s="24"/>
      <c r="G52" s="10">
        <f>H52+I52</f>
        <v>0</v>
      </c>
      <c r="H52" s="2"/>
      <c r="I52" s="2">
        <v>0</v>
      </c>
      <c r="J52" s="2">
        <v>0</v>
      </c>
      <c r="K52" s="39"/>
      <c r="L52" s="71" t="s">
        <v>3</v>
      </c>
      <c r="M52" s="350"/>
    </row>
    <row r="53" spans="1:13" s="76" customFormat="1" ht="29.25" customHeight="1">
      <c r="A53" s="349"/>
      <c r="B53" s="350"/>
      <c r="C53" s="350"/>
      <c r="D53" s="4">
        <v>2019</v>
      </c>
      <c r="E53" s="24">
        <f>F53+G53+J53+K53</f>
        <v>0</v>
      </c>
      <c r="F53" s="10"/>
      <c r="G53" s="10">
        <f>H53+I53</f>
        <v>0</v>
      </c>
      <c r="H53" s="10"/>
      <c r="I53" s="2">
        <v>0</v>
      </c>
      <c r="J53" s="2">
        <v>0</v>
      </c>
      <c r="K53" s="39"/>
      <c r="L53" s="71" t="s">
        <v>3</v>
      </c>
      <c r="M53" s="350"/>
    </row>
    <row r="54" spans="1:13" s="76" customFormat="1" ht="25.5" customHeight="1">
      <c r="A54" s="349"/>
      <c r="B54" s="350"/>
      <c r="C54" s="350"/>
      <c r="D54" s="4">
        <v>2020</v>
      </c>
      <c r="E54" s="24">
        <f>F54+G54+J54+K54</f>
        <v>0</v>
      </c>
      <c r="F54" s="24"/>
      <c r="G54" s="10">
        <f>H54+I54</f>
        <v>0</v>
      </c>
      <c r="H54" s="10"/>
      <c r="I54" s="2">
        <v>0</v>
      </c>
      <c r="J54" s="2">
        <v>0</v>
      </c>
      <c r="K54" s="22"/>
      <c r="L54" s="3" t="s">
        <v>3</v>
      </c>
      <c r="M54" s="350"/>
    </row>
    <row r="55" spans="1:13" s="76" customFormat="1" ht="27.75" customHeight="1">
      <c r="A55" s="349"/>
      <c r="B55" s="350"/>
      <c r="C55" s="350"/>
      <c r="D55" s="4">
        <v>2021</v>
      </c>
      <c r="E55" s="24">
        <f>F55+G55+J55+K55</f>
        <v>0</v>
      </c>
      <c r="F55" s="24"/>
      <c r="G55" s="10">
        <f>H55+I55</f>
        <v>0</v>
      </c>
      <c r="H55" s="10"/>
      <c r="I55" s="2">
        <v>0</v>
      </c>
      <c r="J55" s="2">
        <v>0</v>
      </c>
      <c r="K55" s="22"/>
      <c r="L55" s="3" t="s">
        <v>3</v>
      </c>
      <c r="M55" s="350"/>
    </row>
    <row r="56" spans="1:13" s="76" customFormat="1" ht="55.5" customHeight="1">
      <c r="A56" s="349" t="s">
        <v>74</v>
      </c>
      <c r="B56" s="350" t="s">
        <v>152</v>
      </c>
      <c r="C56" s="350"/>
      <c r="D56" s="4">
        <v>2017</v>
      </c>
      <c r="E56" s="24">
        <f aca="true" t="shared" si="14" ref="E56:E62">F56+I56+J56+K56</f>
        <v>155.5623</v>
      </c>
      <c r="F56" s="24"/>
      <c r="G56" s="24">
        <f aca="true" t="shared" si="15" ref="G56:G62">H56+I56</f>
        <v>0</v>
      </c>
      <c r="H56" s="25"/>
      <c r="I56" s="26">
        <v>0</v>
      </c>
      <c r="J56" s="26">
        <f>40+68.197-39.45+0.42+51.795+4.6003+30</f>
        <v>155.5623</v>
      </c>
      <c r="K56" s="27"/>
      <c r="L56" s="3" t="s">
        <v>6</v>
      </c>
      <c r="M56" s="350" t="s">
        <v>57</v>
      </c>
    </row>
    <row r="57" spans="1:13" s="76" customFormat="1" ht="57.75" customHeight="1">
      <c r="A57" s="349"/>
      <c r="B57" s="350"/>
      <c r="C57" s="350"/>
      <c r="D57" s="4">
        <v>2018</v>
      </c>
      <c r="E57" s="24">
        <f t="shared" si="14"/>
        <v>394.40002999999996</v>
      </c>
      <c r="F57" s="24"/>
      <c r="G57" s="24">
        <f t="shared" si="15"/>
        <v>0</v>
      </c>
      <c r="H57" s="25"/>
      <c r="I57" s="26">
        <v>0</v>
      </c>
      <c r="J57" s="26">
        <f>325-70-60+150-5.5-9.25-8.1+41.63+30.62003</f>
        <v>394.40002999999996</v>
      </c>
      <c r="K57" s="27"/>
      <c r="L57" s="3" t="s">
        <v>115</v>
      </c>
      <c r="M57" s="350"/>
    </row>
    <row r="58" spans="1:13" s="76" customFormat="1" ht="50.25" customHeight="1">
      <c r="A58" s="349"/>
      <c r="B58" s="350"/>
      <c r="C58" s="350"/>
      <c r="D58" s="4">
        <v>2019</v>
      </c>
      <c r="E58" s="24">
        <f t="shared" si="14"/>
        <v>194.37999999999997</v>
      </c>
      <c r="F58" s="24"/>
      <c r="G58" s="24">
        <f t="shared" si="15"/>
        <v>0</v>
      </c>
      <c r="H58" s="25"/>
      <c r="I58" s="26">
        <v>0</v>
      </c>
      <c r="J58" s="24">
        <f>363.78-1.1-12.25-15.357-19-61.293-19-42.5+1.1</f>
        <v>194.37999999999997</v>
      </c>
      <c r="K58" s="27"/>
      <c r="L58" s="3" t="s">
        <v>30</v>
      </c>
      <c r="M58" s="350"/>
    </row>
    <row r="59" spans="1:13" s="76" customFormat="1" ht="63" customHeight="1">
      <c r="A59" s="349"/>
      <c r="B59" s="350"/>
      <c r="C59" s="350"/>
      <c r="D59" s="4">
        <v>2020</v>
      </c>
      <c r="E59" s="24">
        <f t="shared" si="14"/>
        <v>276.53</v>
      </c>
      <c r="F59" s="24"/>
      <c r="G59" s="24">
        <f t="shared" si="15"/>
        <v>0</v>
      </c>
      <c r="H59" s="25"/>
      <c r="I59" s="26">
        <v>0</v>
      </c>
      <c r="J59" s="24">
        <v>276.53</v>
      </c>
      <c r="K59" s="27"/>
      <c r="L59" s="3" t="s">
        <v>30</v>
      </c>
      <c r="M59" s="350"/>
    </row>
    <row r="60" spans="1:13" s="76" customFormat="1" ht="66.75" customHeight="1">
      <c r="A60" s="349"/>
      <c r="B60" s="350"/>
      <c r="C60" s="350"/>
      <c r="D60" s="4">
        <v>2021</v>
      </c>
      <c r="E60" s="24">
        <f>F60+I60+J60+K60</f>
        <v>261.53</v>
      </c>
      <c r="F60" s="24"/>
      <c r="G60" s="24">
        <f>H60+I60</f>
        <v>0</v>
      </c>
      <c r="H60" s="25"/>
      <c r="I60" s="26">
        <v>0</v>
      </c>
      <c r="J60" s="24">
        <f>276.53-15</f>
        <v>261.53</v>
      </c>
      <c r="K60" s="27"/>
      <c r="L60" s="3"/>
      <c r="M60" s="350"/>
    </row>
    <row r="61" spans="1:13" s="76" customFormat="1" ht="57.75" customHeight="1">
      <c r="A61" s="349"/>
      <c r="B61" s="350"/>
      <c r="C61" s="350"/>
      <c r="D61" s="4">
        <v>2022</v>
      </c>
      <c r="E61" s="24">
        <f t="shared" si="14"/>
        <v>276.53</v>
      </c>
      <c r="F61" s="24"/>
      <c r="G61" s="24">
        <f t="shared" si="15"/>
        <v>0</v>
      </c>
      <c r="H61" s="25"/>
      <c r="I61" s="26">
        <v>0</v>
      </c>
      <c r="J61" s="24">
        <v>276.53</v>
      </c>
      <c r="K61" s="27"/>
      <c r="L61" s="3" t="s">
        <v>30</v>
      </c>
      <c r="M61" s="350"/>
    </row>
    <row r="62" spans="1:13" s="76" customFormat="1" ht="45.75" customHeight="1">
      <c r="A62" s="351" t="s">
        <v>148</v>
      </c>
      <c r="B62" s="353" t="s">
        <v>149</v>
      </c>
      <c r="C62" s="354"/>
      <c r="D62" s="4">
        <v>2019</v>
      </c>
      <c r="E62" s="24">
        <f t="shared" si="14"/>
        <v>0</v>
      </c>
      <c r="F62" s="24"/>
      <c r="G62" s="24">
        <f t="shared" si="15"/>
        <v>0</v>
      </c>
      <c r="H62" s="25"/>
      <c r="I62" s="26">
        <v>0</v>
      </c>
      <c r="J62" s="24">
        <v>0</v>
      </c>
      <c r="K62" s="27"/>
      <c r="L62" s="3"/>
      <c r="M62" s="23"/>
    </row>
    <row r="63" spans="1:13" s="76" customFormat="1" ht="52.5" customHeight="1">
      <c r="A63" s="352"/>
      <c r="B63" s="355"/>
      <c r="C63" s="356"/>
      <c r="D63" s="4">
        <v>2020</v>
      </c>
      <c r="E63" s="24">
        <f>F63+I63+J63+K63</f>
        <v>0</v>
      </c>
      <c r="F63" s="24"/>
      <c r="G63" s="24">
        <f>H63+I63</f>
        <v>0</v>
      </c>
      <c r="H63" s="25"/>
      <c r="I63" s="26">
        <v>0</v>
      </c>
      <c r="J63" s="24">
        <v>0</v>
      </c>
      <c r="K63" s="27"/>
      <c r="L63" s="3"/>
      <c r="M63" s="23"/>
    </row>
    <row r="64" spans="1:13" s="76" customFormat="1" ht="45.75" customHeight="1">
      <c r="A64" s="124" t="s">
        <v>220</v>
      </c>
      <c r="B64" s="350" t="s">
        <v>221</v>
      </c>
      <c r="C64" s="350"/>
      <c r="D64" s="4">
        <v>2019</v>
      </c>
      <c r="E64" s="24">
        <f>F64+I64+J64+K64</f>
        <v>42.5</v>
      </c>
      <c r="F64" s="24"/>
      <c r="G64" s="24">
        <f>H64+I64</f>
        <v>0</v>
      </c>
      <c r="H64" s="25"/>
      <c r="I64" s="26"/>
      <c r="J64" s="24">
        <v>42.5</v>
      </c>
      <c r="K64" s="27"/>
      <c r="L64" s="3"/>
      <c r="M64" s="23"/>
    </row>
    <row r="65" spans="1:13" s="76" customFormat="1" ht="24.75" customHeight="1">
      <c r="A65" s="349" t="s">
        <v>75</v>
      </c>
      <c r="B65" s="350" t="s">
        <v>76</v>
      </c>
      <c r="C65" s="350"/>
      <c r="D65" s="4">
        <v>2017</v>
      </c>
      <c r="E65" s="28">
        <f aca="true" t="shared" si="16" ref="E65:E71">F65+G65+J65+K65</f>
        <v>11</v>
      </c>
      <c r="F65" s="28"/>
      <c r="G65" s="29">
        <f aca="true" t="shared" si="17" ref="G65:G72">H65+I65</f>
        <v>0</v>
      </c>
      <c r="H65" s="30"/>
      <c r="I65" s="31">
        <v>0</v>
      </c>
      <c r="J65" s="31">
        <f>11</f>
        <v>11</v>
      </c>
      <c r="K65" s="32"/>
      <c r="L65" s="6" t="s">
        <v>5</v>
      </c>
      <c r="M65" s="350" t="s">
        <v>56</v>
      </c>
    </row>
    <row r="66" spans="1:13" s="76" customFormat="1" ht="24.75" customHeight="1">
      <c r="A66" s="349"/>
      <c r="B66" s="350"/>
      <c r="C66" s="350"/>
      <c r="D66" s="4">
        <v>2018</v>
      </c>
      <c r="E66" s="28">
        <f t="shared" si="16"/>
        <v>0</v>
      </c>
      <c r="F66" s="28"/>
      <c r="G66" s="29">
        <f t="shared" si="17"/>
        <v>0</v>
      </c>
      <c r="H66" s="30"/>
      <c r="I66" s="31">
        <v>0</v>
      </c>
      <c r="J66" s="31">
        <v>0</v>
      </c>
      <c r="K66" s="32"/>
      <c r="L66" s="6" t="s">
        <v>4</v>
      </c>
      <c r="M66" s="350"/>
    </row>
    <row r="67" spans="1:13" s="76" customFormat="1" ht="24.75" customHeight="1">
      <c r="A67" s="349"/>
      <c r="B67" s="350"/>
      <c r="C67" s="350"/>
      <c r="D67" s="4">
        <v>2019</v>
      </c>
      <c r="E67" s="28">
        <f t="shared" si="16"/>
        <v>0</v>
      </c>
      <c r="F67" s="28"/>
      <c r="G67" s="29">
        <f t="shared" si="17"/>
        <v>0</v>
      </c>
      <c r="H67" s="30"/>
      <c r="I67" s="31">
        <v>0</v>
      </c>
      <c r="J67" s="31">
        <v>0</v>
      </c>
      <c r="K67" s="32"/>
      <c r="L67" s="6" t="s">
        <v>4</v>
      </c>
      <c r="M67" s="350"/>
    </row>
    <row r="68" spans="1:13" s="76" customFormat="1" ht="24.75" customHeight="1">
      <c r="A68" s="349"/>
      <c r="B68" s="350"/>
      <c r="C68" s="350"/>
      <c r="D68" s="4">
        <v>2020</v>
      </c>
      <c r="E68" s="28">
        <f t="shared" si="16"/>
        <v>0</v>
      </c>
      <c r="F68" s="28"/>
      <c r="G68" s="29">
        <f t="shared" si="17"/>
        <v>0</v>
      </c>
      <c r="H68" s="30"/>
      <c r="I68" s="31">
        <v>0</v>
      </c>
      <c r="J68" s="31">
        <v>0</v>
      </c>
      <c r="K68" s="32"/>
      <c r="L68" s="6" t="s">
        <v>4</v>
      </c>
      <c r="M68" s="350"/>
    </row>
    <row r="69" spans="1:13" s="76" customFormat="1" ht="24.75" customHeight="1">
      <c r="A69" s="349"/>
      <c r="B69" s="350"/>
      <c r="C69" s="350"/>
      <c r="D69" s="4">
        <v>2021</v>
      </c>
      <c r="E69" s="28">
        <f>F69+G69+J69+K69</f>
        <v>0</v>
      </c>
      <c r="F69" s="28"/>
      <c r="G69" s="29">
        <f>H69+I69</f>
        <v>0</v>
      </c>
      <c r="H69" s="30"/>
      <c r="I69" s="31">
        <v>0</v>
      </c>
      <c r="J69" s="31">
        <v>0</v>
      </c>
      <c r="K69" s="32"/>
      <c r="L69" s="6"/>
      <c r="M69" s="350"/>
    </row>
    <row r="70" spans="1:13" s="76" customFormat="1" ht="24.75" customHeight="1">
      <c r="A70" s="349"/>
      <c r="B70" s="350"/>
      <c r="C70" s="350"/>
      <c r="D70" s="4">
        <v>2022</v>
      </c>
      <c r="E70" s="28">
        <f t="shared" si="16"/>
        <v>0</v>
      </c>
      <c r="F70" s="28"/>
      <c r="G70" s="29">
        <f t="shared" si="17"/>
        <v>0</v>
      </c>
      <c r="H70" s="30"/>
      <c r="I70" s="31">
        <v>0</v>
      </c>
      <c r="J70" s="31">
        <v>0</v>
      </c>
      <c r="K70" s="32"/>
      <c r="L70" s="6" t="s">
        <v>4</v>
      </c>
      <c r="M70" s="350"/>
    </row>
    <row r="71" spans="1:13" s="76" customFormat="1" ht="48" customHeight="1">
      <c r="A71" s="349" t="s">
        <v>77</v>
      </c>
      <c r="B71" s="359" t="s">
        <v>279</v>
      </c>
      <c r="C71" s="359"/>
      <c r="D71" s="4">
        <v>2017</v>
      </c>
      <c r="E71" s="24">
        <f t="shared" si="16"/>
        <v>34.265</v>
      </c>
      <c r="F71" s="24"/>
      <c r="G71" s="26">
        <f t="shared" si="17"/>
        <v>0</v>
      </c>
      <c r="H71" s="26"/>
      <c r="I71" s="26">
        <v>0</v>
      </c>
      <c r="J71" s="26">
        <f>100-13.94-51.795</f>
        <v>34.265</v>
      </c>
      <c r="K71" s="33"/>
      <c r="L71" s="6" t="s">
        <v>3</v>
      </c>
      <c r="M71" s="350" t="s">
        <v>55</v>
      </c>
    </row>
    <row r="72" spans="1:13" s="76" customFormat="1" ht="35.25" customHeight="1">
      <c r="A72" s="349"/>
      <c r="B72" s="359"/>
      <c r="C72" s="359"/>
      <c r="D72" s="294">
        <v>2018</v>
      </c>
      <c r="E72" s="329">
        <f>F72+G72+J72+K73</f>
        <v>22.85</v>
      </c>
      <c r="F72" s="329"/>
      <c r="G72" s="358">
        <f t="shared" si="17"/>
        <v>0</v>
      </c>
      <c r="H72" s="358"/>
      <c r="I72" s="358">
        <v>0</v>
      </c>
      <c r="J72" s="358">
        <f>5.5+9.25+8.1</f>
        <v>22.85</v>
      </c>
      <c r="K72" s="360"/>
      <c r="L72" s="362" t="s">
        <v>3</v>
      </c>
      <c r="M72" s="350"/>
    </row>
    <row r="73" spans="1:13" s="76" customFormat="1" ht="18.75" customHeight="1">
      <c r="A73" s="349"/>
      <c r="B73" s="359"/>
      <c r="C73" s="359"/>
      <c r="D73" s="294"/>
      <c r="E73" s="329"/>
      <c r="F73" s="329"/>
      <c r="G73" s="358"/>
      <c r="H73" s="358"/>
      <c r="I73" s="358"/>
      <c r="J73" s="358"/>
      <c r="K73" s="361"/>
      <c r="L73" s="362"/>
      <c r="M73" s="350"/>
    </row>
    <row r="74" spans="1:13" s="76" customFormat="1" ht="42.75" customHeight="1">
      <c r="A74" s="349"/>
      <c r="B74" s="359"/>
      <c r="C74" s="359"/>
      <c r="D74" s="4">
        <v>2019</v>
      </c>
      <c r="E74" s="24">
        <f aca="true" t="shared" si="18" ref="E74:E83">F74+G74+J74+K74</f>
        <v>35.1</v>
      </c>
      <c r="F74" s="26"/>
      <c r="G74" s="26">
        <f aca="true" t="shared" si="19" ref="G74:G83">H74+I74</f>
        <v>0</v>
      </c>
      <c r="H74" s="26"/>
      <c r="I74" s="26">
        <v>0</v>
      </c>
      <c r="J74" s="26">
        <f>22.85+12.25</f>
        <v>35.1</v>
      </c>
      <c r="K74" s="34"/>
      <c r="L74" s="6" t="s">
        <v>3</v>
      </c>
      <c r="M74" s="350"/>
    </row>
    <row r="75" spans="1:13" s="76" customFormat="1" ht="42" customHeight="1">
      <c r="A75" s="349"/>
      <c r="B75" s="359"/>
      <c r="C75" s="359"/>
      <c r="D75" s="4">
        <v>2020</v>
      </c>
      <c r="E75" s="24">
        <f>F75+G75+J75+K75</f>
        <v>35.1</v>
      </c>
      <c r="F75" s="26"/>
      <c r="G75" s="26">
        <f>H75+I75</f>
        <v>0</v>
      </c>
      <c r="H75" s="26"/>
      <c r="I75" s="26">
        <v>0</v>
      </c>
      <c r="J75" s="26">
        <v>35.1</v>
      </c>
      <c r="K75" s="34"/>
      <c r="L75" s="6" t="s">
        <v>3</v>
      </c>
      <c r="M75" s="23"/>
    </row>
    <row r="76" spans="1:13" s="76" customFormat="1" ht="46.5" customHeight="1">
      <c r="A76" s="349"/>
      <c r="B76" s="359"/>
      <c r="C76" s="359"/>
      <c r="D76" s="4">
        <v>2021</v>
      </c>
      <c r="E76" s="24">
        <f>F76+G76+J76+K76</f>
        <v>35.1</v>
      </c>
      <c r="F76" s="26"/>
      <c r="G76" s="26">
        <f>H76+I76</f>
        <v>0</v>
      </c>
      <c r="H76" s="26"/>
      <c r="I76" s="26">
        <v>0</v>
      </c>
      <c r="J76" s="26">
        <v>35.1</v>
      </c>
      <c r="K76" s="34"/>
      <c r="L76" s="6"/>
      <c r="M76" s="23"/>
    </row>
    <row r="77" spans="1:13" s="76" customFormat="1" ht="33.75" customHeight="1">
      <c r="A77" s="349"/>
      <c r="B77" s="359"/>
      <c r="C77" s="359"/>
      <c r="D77" s="4">
        <v>2022</v>
      </c>
      <c r="E77" s="24">
        <f t="shared" si="18"/>
        <v>35.1</v>
      </c>
      <c r="F77" s="26"/>
      <c r="G77" s="26">
        <f t="shared" si="19"/>
        <v>0</v>
      </c>
      <c r="H77" s="26"/>
      <c r="I77" s="26">
        <v>0</v>
      </c>
      <c r="J77" s="26">
        <v>35.1</v>
      </c>
      <c r="K77" s="34"/>
      <c r="L77" s="6" t="s">
        <v>3</v>
      </c>
      <c r="M77" s="23"/>
    </row>
    <row r="78" spans="1:13" s="76" customFormat="1" ht="24.75" customHeight="1">
      <c r="A78" s="349" t="s">
        <v>78</v>
      </c>
      <c r="B78" s="353" t="s">
        <v>79</v>
      </c>
      <c r="C78" s="354"/>
      <c r="D78" s="4">
        <v>2017</v>
      </c>
      <c r="E78" s="24">
        <f t="shared" si="18"/>
        <v>65.3997</v>
      </c>
      <c r="F78" s="26"/>
      <c r="G78" s="26">
        <f t="shared" si="19"/>
        <v>0</v>
      </c>
      <c r="H78" s="143"/>
      <c r="I78" s="26">
        <v>0</v>
      </c>
      <c r="J78" s="26">
        <f>70-4.6003</f>
        <v>65.3997</v>
      </c>
      <c r="K78" s="27"/>
      <c r="L78" s="6" t="s">
        <v>5</v>
      </c>
      <c r="M78" s="350" t="s">
        <v>54</v>
      </c>
    </row>
    <row r="79" spans="1:13" s="76" customFormat="1" ht="24.75" customHeight="1">
      <c r="A79" s="349"/>
      <c r="B79" s="363"/>
      <c r="C79" s="364"/>
      <c r="D79" s="4">
        <v>2018</v>
      </c>
      <c r="E79" s="24">
        <f t="shared" si="18"/>
        <v>60</v>
      </c>
      <c r="F79" s="26"/>
      <c r="G79" s="24">
        <f t="shared" si="19"/>
        <v>0</v>
      </c>
      <c r="H79" s="25"/>
      <c r="I79" s="26">
        <v>0</v>
      </c>
      <c r="J79" s="26">
        <v>60</v>
      </c>
      <c r="K79" s="27"/>
      <c r="L79" s="6" t="s">
        <v>5</v>
      </c>
      <c r="M79" s="350"/>
    </row>
    <row r="80" spans="1:13" s="76" customFormat="1" ht="24.75" customHeight="1">
      <c r="A80" s="349"/>
      <c r="B80" s="363"/>
      <c r="C80" s="364"/>
      <c r="D80" s="4">
        <v>2019</v>
      </c>
      <c r="E80" s="24">
        <f t="shared" si="18"/>
        <v>79</v>
      </c>
      <c r="F80" s="26"/>
      <c r="G80" s="24">
        <f t="shared" si="19"/>
        <v>0</v>
      </c>
      <c r="H80" s="25"/>
      <c r="I80" s="26">
        <v>0</v>
      </c>
      <c r="J80" s="26">
        <f>60+19</f>
        <v>79</v>
      </c>
      <c r="K80" s="27"/>
      <c r="L80" s="6" t="s">
        <v>5</v>
      </c>
      <c r="M80" s="350"/>
    </row>
    <row r="81" spans="1:13" s="76" customFormat="1" ht="24.75" customHeight="1">
      <c r="A81" s="349"/>
      <c r="B81" s="363"/>
      <c r="C81" s="364"/>
      <c r="D81" s="4">
        <v>2020</v>
      </c>
      <c r="E81" s="24">
        <f>F81+G81+J81+K81</f>
        <v>60</v>
      </c>
      <c r="F81" s="26"/>
      <c r="G81" s="24">
        <f>H81+I81</f>
        <v>0</v>
      </c>
      <c r="H81" s="25"/>
      <c r="I81" s="26">
        <v>0</v>
      </c>
      <c r="J81" s="26">
        <v>60</v>
      </c>
      <c r="K81" s="27"/>
      <c r="L81" s="6" t="s">
        <v>5</v>
      </c>
      <c r="M81" s="350"/>
    </row>
    <row r="82" spans="1:13" s="76" customFormat="1" ht="24.75" customHeight="1">
      <c r="A82" s="349"/>
      <c r="B82" s="363"/>
      <c r="C82" s="364"/>
      <c r="D82" s="4">
        <v>2021</v>
      </c>
      <c r="E82" s="24">
        <f>F82+G82+J82+K82</f>
        <v>60</v>
      </c>
      <c r="F82" s="26"/>
      <c r="G82" s="24">
        <f>H82+I82</f>
        <v>0</v>
      </c>
      <c r="H82" s="25"/>
      <c r="I82" s="26">
        <v>0</v>
      </c>
      <c r="J82" s="26">
        <v>60</v>
      </c>
      <c r="K82" s="27"/>
      <c r="L82" s="6"/>
      <c r="M82" s="350"/>
    </row>
    <row r="83" spans="1:13" s="76" customFormat="1" ht="24.75" customHeight="1">
      <c r="A83" s="349"/>
      <c r="B83" s="355"/>
      <c r="C83" s="356"/>
      <c r="D83" s="4">
        <v>2022</v>
      </c>
      <c r="E83" s="24">
        <f t="shared" si="18"/>
        <v>60</v>
      </c>
      <c r="F83" s="26"/>
      <c r="G83" s="24">
        <f t="shared" si="19"/>
        <v>0</v>
      </c>
      <c r="H83" s="25"/>
      <c r="I83" s="26">
        <v>0</v>
      </c>
      <c r="J83" s="26">
        <v>60</v>
      </c>
      <c r="K83" s="27"/>
      <c r="L83" s="6" t="s">
        <v>5</v>
      </c>
      <c r="M83" s="350"/>
    </row>
    <row r="84" spans="1:13" s="76" customFormat="1" ht="24.75" customHeight="1">
      <c r="A84" s="349" t="s">
        <v>80</v>
      </c>
      <c r="B84" s="350" t="s">
        <v>81</v>
      </c>
      <c r="C84" s="350"/>
      <c r="D84" s="294">
        <v>2017</v>
      </c>
      <c r="E84" s="329">
        <f>F84+G84+J84+K84</f>
        <v>27.52</v>
      </c>
      <c r="F84" s="358"/>
      <c r="G84" s="365">
        <f>H84+I84</f>
        <v>0</v>
      </c>
      <c r="H84" s="329"/>
      <c r="I84" s="358">
        <v>0</v>
      </c>
      <c r="J84" s="358">
        <v>27.52</v>
      </c>
      <c r="K84" s="367"/>
      <c r="L84" s="362" t="s">
        <v>4</v>
      </c>
      <c r="M84" s="350" t="s">
        <v>53</v>
      </c>
    </row>
    <row r="85" spans="1:13" s="76" customFormat="1" ht="4.5" customHeight="1">
      <c r="A85" s="349"/>
      <c r="B85" s="350"/>
      <c r="C85" s="350"/>
      <c r="D85" s="294"/>
      <c r="E85" s="329"/>
      <c r="F85" s="358"/>
      <c r="G85" s="366"/>
      <c r="H85" s="329"/>
      <c r="I85" s="358"/>
      <c r="J85" s="358"/>
      <c r="K85" s="368"/>
      <c r="L85" s="362"/>
      <c r="M85" s="350"/>
    </row>
    <row r="86" spans="1:13" s="76" customFormat="1" ht="24.75" customHeight="1">
      <c r="A86" s="349"/>
      <c r="B86" s="350"/>
      <c r="C86" s="350"/>
      <c r="D86" s="4">
        <v>2018</v>
      </c>
      <c r="E86" s="24">
        <f aca="true" t="shared" si="20" ref="E86:E96">F86+G86+J86+K86</f>
        <v>28.369999999999997</v>
      </c>
      <c r="F86" s="26"/>
      <c r="G86" s="26">
        <f aca="true" t="shared" si="21" ref="G86:G122">H86+I86</f>
        <v>0</v>
      </c>
      <c r="H86" s="25"/>
      <c r="I86" s="26">
        <v>0</v>
      </c>
      <c r="J86" s="26">
        <f>70-41.63</f>
        <v>28.369999999999997</v>
      </c>
      <c r="K86" s="27"/>
      <c r="L86" s="6" t="s">
        <v>4</v>
      </c>
      <c r="M86" s="350"/>
    </row>
    <row r="87" spans="1:13" s="76" customFormat="1" ht="24.75" customHeight="1">
      <c r="A87" s="349"/>
      <c r="B87" s="350"/>
      <c r="C87" s="350"/>
      <c r="D87" s="4">
        <v>2019</v>
      </c>
      <c r="E87" s="24">
        <f t="shared" si="20"/>
        <v>28.37</v>
      </c>
      <c r="F87" s="26"/>
      <c r="G87" s="26">
        <f t="shared" si="21"/>
        <v>0</v>
      </c>
      <c r="H87" s="25"/>
      <c r="I87" s="26">
        <v>0</v>
      </c>
      <c r="J87" s="26">
        <v>28.37</v>
      </c>
      <c r="K87" s="27"/>
      <c r="L87" s="6" t="s">
        <v>4</v>
      </c>
      <c r="M87" s="350"/>
    </row>
    <row r="88" spans="1:13" s="76" customFormat="1" ht="24.75" customHeight="1">
      <c r="A88" s="349"/>
      <c r="B88" s="350"/>
      <c r="C88" s="350"/>
      <c r="D88" s="4">
        <v>2020</v>
      </c>
      <c r="E88" s="24">
        <f t="shared" si="20"/>
        <v>28.37</v>
      </c>
      <c r="F88" s="26"/>
      <c r="G88" s="26">
        <f t="shared" si="21"/>
        <v>0</v>
      </c>
      <c r="H88" s="25"/>
      <c r="I88" s="26">
        <v>0</v>
      </c>
      <c r="J88" s="26">
        <v>28.37</v>
      </c>
      <c r="K88" s="27"/>
      <c r="L88" s="6" t="s">
        <v>4</v>
      </c>
      <c r="M88" s="350"/>
    </row>
    <row r="89" spans="1:13" s="76" customFormat="1" ht="24.75" customHeight="1">
      <c r="A89" s="349"/>
      <c r="B89" s="350"/>
      <c r="C89" s="350"/>
      <c r="D89" s="4">
        <v>2021</v>
      </c>
      <c r="E89" s="24">
        <f>F89+G89+J89+K89</f>
        <v>28.37</v>
      </c>
      <c r="F89" s="26"/>
      <c r="G89" s="26">
        <f>H89+I89</f>
        <v>0</v>
      </c>
      <c r="H89" s="25"/>
      <c r="I89" s="26">
        <v>0</v>
      </c>
      <c r="J89" s="26">
        <v>28.37</v>
      </c>
      <c r="K89" s="27"/>
      <c r="L89" s="6" t="s">
        <v>4</v>
      </c>
      <c r="M89" s="350"/>
    </row>
    <row r="90" spans="1:13" s="76" customFormat="1" ht="24.75" customHeight="1">
      <c r="A90" s="349"/>
      <c r="B90" s="350"/>
      <c r="C90" s="350"/>
      <c r="D90" s="4">
        <v>2022</v>
      </c>
      <c r="E90" s="24">
        <f t="shared" si="20"/>
        <v>28.37</v>
      </c>
      <c r="F90" s="26"/>
      <c r="G90" s="26">
        <f t="shared" si="21"/>
        <v>0</v>
      </c>
      <c r="H90" s="25"/>
      <c r="I90" s="26">
        <v>0</v>
      </c>
      <c r="J90" s="26">
        <v>28.37</v>
      </c>
      <c r="K90" s="27"/>
      <c r="L90" s="6" t="s">
        <v>4</v>
      </c>
      <c r="M90" s="350"/>
    </row>
    <row r="91" spans="1:13" s="76" customFormat="1" ht="24.75" customHeight="1">
      <c r="A91" s="349" t="s">
        <v>82</v>
      </c>
      <c r="B91" s="369" t="s">
        <v>170</v>
      </c>
      <c r="C91" s="370"/>
      <c r="D91" s="4">
        <v>2017</v>
      </c>
      <c r="E91" s="24">
        <f t="shared" si="20"/>
        <v>50</v>
      </c>
      <c r="F91" s="26"/>
      <c r="G91" s="26">
        <f t="shared" si="21"/>
        <v>50</v>
      </c>
      <c r="H91" s="36"/>
      <c r="I91" s="12">
        <v>50</v>
      </c>
      <c r="J91" s="26">
        <v>0</v>
      </c>
      <c r="K91" s="37"/>
      <c r="L91" s="6" t="s">
        <v>35</v>
      </c>
      <c r="M91" s="375" t="s">
        <v>52</v>
      </c>
    </row>
    <row r="92" spans="1:13" s="76" customFormat="1" ht="24.75" customHeight="1">
      <c r="A92" s="349"/>
      <c r="B92" s="371"/>
      <c r="C92" s="372"/>
      <c r="D92" s="4">
        <v>2018</v>
      </c>
      <c r="E92" s="24">
        <f t="shared" si="20"/>
        <v>0</v>
      </c>
      <c r="F92" s="26"/>
      <c r="G92" s="26">
        <f t="shared" si="21"/>
        <v>0</v>
      </c>
      <c r="H92" s="26"/>
      <c r="I92" s="26">
        <v>0</v>
      </c>
      <c r="J92" s="26">
        <v>0</v>
      </c>
      <c r="K92" s="37"/>
      <c r="L92" s="6"/>
      <c r="M92" s="376"/>
    </row>
    <row r="93" spans="1:13" s="76" customFormat="1" ht="24.75" customHeight="1">
      <c r="A93" s="349"/>
      <c r="B93" s="371"/>
      <c r="C93" s="372"/>
      <c r="D93" s="4">
        <v>2019</v>
      </c>
      <c r="E93" s="24">
        <f t="shared" si="20"/>
        <v>50</v>
      </c>
      <c r="F93" s="26"/>
      <c r="G93" s="26">
        <f t="shared" si="21"/>
        <v>50</v>
      </c>
      <c r="H93" s="26"/>
      <c r="I93" s="26">
        <v>50</v>
      </c>
      <c r="J93" s="26">
        <v>0</v>
      </c>
      <c r="K93" s="37"/>
      <c r="L93" s="6" t="s">
        <v>21</v>
      </c>
      <c r="M93" s="376"/>
    </row>
    <row r="94" spans="1:13" s="76" customFormat="1" ht="24.75" customHeight="1">
      <c r="A94" s="349"/>
      <c r="B94" s="371"/>
      <c r="C94" s="372"/>
      <c r="D94" s="4">
        <v>2020</v>
      </c>
      <c r="E94" s="24">
        <f>F94+G94+J94+K94</f>
        <v>0</v>
      </c>
      <c r="F94" s="26"/>
      <c r="G94" s="26">
        <f>H94+I94</f>
        <v>0</v>
      </c>
      <c r="H94" s="26"/>
      <c r="I94" s="26">
        <v>0</v>
      </c>
      <c r="J94" s="26">
        <v>0</v>
      </c>
      <c r="K94" s="37"/>
      <c r="L94" s="6"/>
      <c r="M94" s="376"/>
    </row>
    <row r="95" spans="1:13" s="76" customFormat="1" ht="24.75" customHeight="1">
      <c r="A95" s="349"/>
      <c r="B95" s="371"/>
      <c r="C95" s="372"/>
      <c r="D95" s="4">
        <v>2021</v>
      </c>
      <c r="E95" s="24">
        <f>F95+G95+J95+K95</f>
        <v>0</v>
      </c>
      <c r="F95" s="26"/>
      <c r="G95" s="26">
        <f>H95+I95</f>
        <v>0</v>
      </c>
      <c r="H95" s="26"/>
      <c r="I95" s="26">
        <v>0</v>
      </c>
      <c r="J95" s="26">
        <v>0</v>
      </c>
      <c r="K95" s="37"/>
      <c r="L95" s="6"/>
      <c r="M95" s="376"/>
    </row>
    <row r="96" spans="1:13" s="76" customFormat="1" ht="24.75" customHeight="1">
      <c r="A96" s="349"/>
      <c r="B96" s="373"/>
      <c r="C96" s="374"/>
      <c r="D96" s="4">
        <v>2022</v>
      </c>
      <c r="E96" s="24">
        <f t="shared" si="20"/>
        <v>0</v>
      </c>
      <c r="F96" s="26"/>
      <c r="G96" s="26">
        <f t="shared" si="21"/>
        <v>0</v>
      </c>
      <c r="H96" s="26"/>
      <c r="I96" s="26">
        <v>0</v>
      </c>
      <c r="J96" s="26">
        <v>0</v>
      </c>
      <c r="K96" s="37"/>
      <c r="L96" s="6"/>
      <c r="M96" s="377"/>
    </row>
    <row r="97" spans="1:13" s="76" customFormat="1" ht="24.75" customHeight="1">
      <c r="A97" s="351" t="s">
        <v>83</v>
      </c>
      <c r="B97" s="379" t="s">
        <v>84</v>
      </c>
      <c r="C97" s="380"/>
      <c r="D97" s="315">
        <v>2017</v>
      </c>
      <c r="E97" s="385">
        <f>F97+G97+J97+K97</f>
        <v>627.047</v>
      </c>
      <c r="F97" s="24"/>
      <c r="G97" s="24">
        <f t="shared" si="21"/>
        <v>0</v>
      </c>
      <c r="H97" s="13">
        <f>H98+H99+H100+H101+H102+H103</f>
        <v>0</v>
      </c>
      <c r="I97" s="24">
        <f>I98+I99+I100+I101+I102+I103</f>
        <v>0</v>
      </c>
      <c r="J97" s="24">
        <f>J98+J99+J100+J101+J102+J103</f>
        <v>627.047</v>
      </c>
      <c r="K97" s="24">
        <f>K98+K99+K100+K101+K102+K103</f>
        <v>0</v>
      </c>
      <c r="L97" s="6"/>
      <c r="M97" s="350" t="s">
        <v>67</v>
      </c>
    </row>
    <row r="98" spans="1:13" s="76" customFormat="1" ht="27" customHeight="1">
      <c r="A98" s="378"/>
      <c r="B98" s="381"/>
      <c r="C98" s="382"/>
      <c r="D98" s="315"/>
      <c r="E98" s="385"/>
      <c r="F98" s="24"/>
      <c r="G98" s="24">
        <f t="shared" si="21"/>
        <v>0</v>
      </c>
      <c r="H98" s="24"/>
      <c r="I98" s="26"/>
      <c r="J98" s="26">
        <f>50+13.94</f>
        <v>63.94</v>
      </c>
      <c r="K98" s="27"/>
      <c r="L98" s="6" t="s">
        <v>173</v>
      </c>
      <c r="M98" s="350"/>
    </row>
    <row r="99" spans="1:13" s="76" customFormat="1" ht="24.75" customHeight="1">
      <c r="A99" s="378"/>
      <c r="B99" s="381"/>
      <c r="C99" s="382"/>
      <c r="D99" s="315"/>
      <c r="E99" s="385"/>
      <c r="F99" s="24"/>
      <c r="G99" s="24">
        <f t="shared" si="21"/>
        <v>0</v>
      </c>
      <c r="H99" s="25"/>
      <c r="I99" s="26"/>
      <c r="J99" s="26">
        <v>113.23</v>
      </c>
      <c r="K99" s="27"/>
      <c r="L99" s="6" t="s">
        <v>15</v>
      </c>
      <c r="M99" s="350"/>
    </row>
    <row r="100" spans="1:13" s="76" customFormat="1" ht="24.75" customHeight="1">
      <c r="A100" s="378"/>
      <c r="B100" s="381"/>
      <c r="C100" s="382"/>
      <c r="D100" s="315"/>
      <c r="E100" s="385"/>
      <c r="F100" s="24"/>
      <c r="G100" s="24">
        <f t="shared" si="21"/>
        <v>0</v>
      </c>
      <c r="H100" s="25"/>
      <c r="I100" s="26"/>
      <c r="J100" s="26">
        <v>205.427</v>
      </c>
      <c r="K100" s="27"/>
      <c r="L100" s="6" t="s">
        <v>23</v>
      </c>
      <c r="M100" s="350"/>
    </row>
    <row r="101" spans="1:13" s="76" customFormat="1" ht="24.75" customHeight="1">
      <c r="A101" s="378"/>
      <c r="B101" s="381"/>
      <c r="C101" s="382"/>
      <c r="D101" s="315"/>
      <c r="E101" s="385"/>
      <c r="F101" s="24"/>
      <c r="G101" s="24">
        <f t="shared" si="21"/>
        <v>0</v>
      </c>
      <c r="H101" s="25"/>
      <c r="I101" s="26"/>
      <c r="J101" s="26">
        <v>13.23</v>
      </c>
      <c r="K101" s="27"/>
      <c r="L101" s="6" t="s">
        <v>12</v>
      </c>
      <c r="M101" s="350"/>
    </row>
    <row r="102" spans="1:13" s="76" customFormat="1" ht="24.75" customHeight="1">
      <c r="A102" s="378"/>
      <c r="B102" s="381"/>
      <c r="C102" s="382"/>
      <c r="D102" s="315"/>
      <c r="E102" s="385"/>
      <c r="F102" s="24"/>
      <c r="G102" s="24">
        <f t="shared" si="21"/>
        <v>0</v>
      </c>
      <c r="H102" s="25"/>
      <c r="I102" s="26"/>
      <c r="J102" s="26">
        <v>161.09</v>
      </c>
      <c r="K102" s="27"/>
      <c r="L102" s="6" t="s">
        <v>24</v>
      </c>
      <c r="M102" s="350"/>
    </row>
    <row r="103" spans="1:13" s="76" customFormat="1" ht="24.75" customHeight="1">
      <c r="A103" s="378"/>
      <c r="B103" s="381"/>
      <c r="C103" s="382"/>
      <c r="D103" s="315"/>
      <c r="E103" s="385"/>
      <c r="F103" s="24"/>
      <c r="G103" s="24">
        <f t="shared" si="21"/>
        <v>0</v>
      </c>
      <c r="H103" s="25"/>
      <c r="I103" s="26"/>
      <c r="J103" s="26">
        <f>15.18+18+36.45+0.5</f>
        <v>70.13</v>
      </c>
      <c r="K103" s="27"/>
      <c r="L103" s="6" t="s">
        <v>25</v>
      </c>
      <c r="M103" s="350"/>
    </row>
    <row r="104" spans="1:13" s="76" customFormat="1" ht="24.75" customHeight="1">
      <c r="A104" s="378"/>
      <c r="B104" s="381"/>
      <c r="C104" s="382"/>
      <c r="D104" s="315">
        <v>2018</v>
      </c>
      <c r="E104" s="385">
        <f>F104+G104+J104+K104</f>
        <v>2781.9159799999998</v>
      </c>
      <c r="F104" s="10"/>
      <c r="G104" s="10">
        <f t="shared" si="21"/>
        <v>0</v>
      </c>
      <c r="H104" s="10">
        <f>H105+H106+H107+H108+H109+H110+H111</f>
        <v>0</v>
      </c>
      <c r="I104" s="10">
        <f>I105+I106+I107+I108+I109+I110+I111</f>
        <v>0</v>
      </c>
      <c r="J104" s="10">
        <f>J105+J106+J107+J108+J109+J110+J111</f>
        <v>2781.9159799999998</v>
      </c>
      <c r="K104" s="10">
        <f>K105+K106+K107+K108+K109+K110+K111</f>
        <v>0</v>
      </c>
      <c r="L104" s="6"/>
      <c r="M104" s="350"/>
    </row>
    <row r="105" spans="1:13" s="76" customFormat="1" ht="26.25" customHeight="1">
      <c r="A105" s="378"/>
      <c r="B105" s="381"/>
      <c r="C105" s="382"/>
      <c r="D105" s="315"/>
      <c r="E105" s="385"/>
      <c r="F105" s="10"/>
      <c r="G105" s="2">
        <f t="shared" si="21"/>
        <v>0</v>
      </c>
      <c r="H105" s="10"/>
      <c r="I105" s="2"/>
      <c r="J105" s="2">
        <v>0</v>
      </c>
      <c r="K105" s="11"/>
      <c r="L105" s="6" t="s">
        <v>173</v>
      </c>
      <c r="M105" s="350"/>
    </row>
    <row r="106" spans="1:13" s="76" customFormat="1" ht="24.75" customHeight="1">
      <c r="A106" s="378"/>
      <c r="B106" s="381"/>
      <c r="C106" s="382"/>
      <c r="D106" s="315"/>
      <c r="E106" s="385"/>
      <c r="F106" s="10"/>
      <c r="G106" s="2">
        <f t="shared" si="21"/>
        <v>0</v>
      </c>
      <c r="H106" s="10"/>
      <c r="I106" s="2"/>
      <c r="J106" s="2">
        <f>12.64+1186-181.18-36.69771</f>
        <v>980.76229</v>
      </c>
      <c r="K106" s="11"/>
      <c r="L106" s="6" t="s">
        <v>15</v>
      </c>
      <c r="M106" s="350"/>
    </row>
    <row r="107" spans="1:13" s="76" customFormat="1" ht="24.75" customHeight="1">
      <c r="A107" s="378"/>
      <c r="B107" s="381"/>
      <c r="C107" s="382"/>
      <c r="D107" s="315"/>
      <c r="E107" s="385"/>
      <c r="F107" s="10"/>
      <c r="G107" s="2">
        <f t="shared" si="21"/>
        <v>0</v>
      </c>
      <c r="H107" s="10"/>
      <c r="I107" s="2"/>
      <c r="J107" s="2">
        <f>12.64+445+788.79-277.21131</f>
        <v>969.2186899999998</v>
      </c>
      <c r="K107" s="11"/>
      <c r="L107" s="6" t="s">
        <v>23</v>
      </c>
      <c r="M107" s="350"/>
    </row>
    <row r="108" spans="1:13" s="76" customFormat="1" ht="24.75" customHeight="1">
      <c r="A108" s="378"/>
      <c r="B108" s="381"/>
      <c r="C108" s="382"/>
      <c r="D108" s="315"/>
      <c r="E108" s="385"/>
      <c r="F108" s="10"/>
      <c r="G108" s="2">
        <f t="shared" si="21"/>
        <v>0</v>
      </c>
      <c r="H108" s="10"/>
      <c r="I108" s="2"/>
      <c r="J108" s="2">
        <f>12.64+437.6-55.429</f>
        <v>394.81100000000004</v>
      </c>
      <c r="K108" s="11"/>
      <c r="L108" s="6" t="s">
        <v>12</v>
      </c>
      <c r="M108" s="350"/>
    </row>
    <row r="109" spans="1:13" s="76" customFormat="1" ht="24.75" customHeight="1">
      <c r="A109" s="378"/>
      <c r="B109" s="381"/>
      <c r="C109" s="382"/>
      <c r="D109" s="315"/>
      <c r="E109" s="385"/>
      <c r="F109" s="10"/>
      <c r="G109" s="2">
        <f t="shared" si="21"/>
        <v>0</v>
      </c>
      <c r="H109" s="10"/>
      <c r="I109" s="2"/>
      <c r="J109" s="2">
        <f>30.36+107+120+26.184</f>
        <v>283.54400000000004</v>
      </c>
      <c r="K109" s="11"/>
      <c r="L109" s="6" t="s">
        <v>24</v>
      </c>
      <c r="M109" s="350"/>
    </row>
    <row r="110" spans="1:13" s="76" customFormat="1" ht="24.75" customHeight="1">
      <c r="A110" s="378"/>
      <c r="B110" s="381"/>
      <c r="C110" s="382"/>
      <c r="D110" s="315"/>
      <c r="E110" s="385"/>
      <c r="F110" s="10"/>
      <c r="G110" s="2">
        <f t="shared" si="21"/>
        <v>0</v>
      </c>
      <c r="H110" s="10"/>
      <c r="I110" s="2"/>
      <c r="J110" s="2">
        <f>15.18+165-26.6</f>
        <v>153.58</v>
      </c>
      <c r="K110" s="11"/>
      <c r="L110" s="6" t="s">
        <v>25</v>
      </c>
      <c r="M110" s="350"/>
    </row>
    <row r="111" spans="1:13" s="76" customFormat="1" ht="24.75" customHeight="1">
      <c r="A111" s="378"/>
      <c r="B111" s="381"/>
      <c r="C111" s="382"/>
      <c r="D111" s="315"/>
      <c r="E111" s="385"/>
      <c r="F111" s="10"/>
      <c r="G111" s="2">
        <f t="shared" si="21"/>
        <v>0</v>
      </c>
      <c r="H111" s="10"/>
      <c r="I111" s="2"/>
      <c r="J111" s="2">
        <v>0</v>
      </c>
      <c r="K111" s="11"/>
      <c r="L111" s="6" t="s">
        <v>48</v>
      </c>
      <c r="M111" s="350"/>
    </row>
    <row r="112" spans="1:13" s="76" customFormat="1" ht="24.75" customHeight="1">
      <c r="A112" s="378"/>
      <c r="B112" s="381"/>
      <c r="C112" s="382"/>
      <c r="D112" s="315">
        <v>2019</v>
      </c>
      <c r="E112" s="385">
        <f>F112+G112+J112+K112</f>
        <v>387.68000000000006</v>
      </c>
      <c r="F112" s="10">
        <f aca="true" t="shared" si="22" ref="F112:K112">SUM(F113:F119)</f>
        <v>0</v>
      </c>
      <c r="G112" s="10">
        <f t="shared" si="22"/>
        <v>0</v>
      </c>
      <c r="H112" s="10">
        <f t="shared" si="22"/>
        <v>0</v>
      </c>
      <c r="I112" s="10">
        <f t="shared" si="22"/>
        <v>0</v>
      </c>
      <c r="J112" s="10">
        <f t="shared" si="22"/>
        <v>387.68000000000006</v>
      </c>
      <c r="K112" s="10">
        <f t="shared" si="22"/>
        <v>0</v>
      </c>
      <c r="L112" s="6"/>
      <c r="M112" s="350"/>
    </row>
    <row r="113" spans="1:13" s="76" customFormat="1" ht="24.75" customHeight="1">
      <c r="A113" s="378"/>
      <c r="B113" s="381"/>
      <c r="C113" s="382"/>
      <c r="D113" s="315"/>
      <c r="E113" s="385"/>
      <c r="F113" s="10"/>
      <c r="G113" s="2">
        <f aca="true" t="shared" si="23" ref="G113:G119">H113+I113</f>
        <v>0</v>
      </c>
      <c r="H113" s="10"/>
      <c r="I113" s="2"/>
      <c r="J113" s="2">
        <v>0</v>
      </c>
      <c r="K113" s="11"/>
      <c r="L113" s="6" t="s">
        <v>173</v>
      </c>
      <c r="M113" s="350"/>
    </row>
    <row r="114" spans="1:13" s="76" customFormat="1" ht="24.75" customHeight="1">
      <c r="A114" s="378"/>
      <c r="B114" s="381"/>
      <c r="C114" s="382"/>
      <c r="D114" s="315"/>
      <c r="E114" s="385"/>
      <c r="F114" s="10"/>
      <c r="G114" s="2">
        <f t="shared" si="23"/>
        <v>0</v>
      </c>
      <c r="H114" s="10"/>
      <c r="I114" s="2"/>
      <c r="J114" s="2">
        <v>12.64</v>
      </c>
      <c r="K114" s="11"/>
      <c r="L114" s="6" t="s">
        <v>15</v>
      </c>
      <c r="M114" s="350"/>
    </row>
    <row r="115" spans="1:13" s="76" customFormat="1" ht="24.75" customHeight="1">
      <c r="A115" s="378"/>
      <c r="B115" s="381"/>
      <c r="C115" s="382"/>
      <c r="D115" s="315"/>
      <c r="E115" s="385"/>
      <c r="F115" s="10"/>
      <c r="G115" s="2">
        <f t="shared" si="23"/>
        <v>0</v>
      </c>
      <c r="H115" s="10"/>
      <c r="I115" s="2"/>
      <c r="J115" s="2">
        <v>12.64</v>
      </c>
      <c r="K115" s="11"/>
      <c r="L115" s="6" t="s">
        <v>23</v>
      </c>
      <c r="M115" s="350"/>
    </row>
    <row r="116" spans="1:13" s="76" customFormat="1" ht="24.75" customHeight="1">
      <c r="A116" s="378"/>
      <c r="B116" s="381"/>
      <c r="C116" s="382"/>
      <c r="D116" s="315"/>
      <c r="E116" s="385"/>
      <c r="F116" s="10"/>
      <c r="G116" s="2">
        <f t="shared" si="23"/>
        <v>0</v>
      </c>
      <c r="H116" s="10"/>
      <c r="I116" s="2"/>
      <c r="J116" s="2">
        <f>12.64+100</f>
        <v>112.64</v>
      </c>
      <c r="K116" s="11"/>
      <c r="L116" s="6" t="s">
        <v>12</v>
      </c>
      <c r="M116" s="350"/>
    </row>
    <row r="117" spans="1:13" s="76" customFormat="1" ht="24.75" customHeight="1">
      <c r="A117" s="378"/>
      <c r="B117" s="381"/>
      <c r="C117" s="382"/>
      <c r="D117" s="315"/>
      <c r="E117" s="385"/>
      <c r="F117" s="10"/>
      <c r="G117" s="2">
        <f t="shared" si="23"/>
        <v>0</v>
      </c>
      <c r="H117" s="10"/>
      <c r="I117" s="2"/>
      <c r="J117" s="2">
        <v>0</v>
      </c>
      <c r="K117" s="11"/>
      <c r="L117" s="6" t="s">
        <v>178</v>
      </c>
      <c r="M117" s="350"/>
    </row>
    <row r="118" spans="1:13" s="76" customFormat="1" ht="24.75" customHeight="1">
      <c r="A118" s="378"/>
      <c r="B118" s="381"/>
      <c r="C118" s="382"/>
      <c r="D118" s="315"/>
      <c r="E118" s="385"/>
      <c r="F118" s="10"/>
      <c r="G118" s="2">
        <f t="shared" si="23"/>
        <v>0</v>
      </c>
      <c r="H118" s="10"/>
      <c r="I118" s="2"/>
      <c r="J118" s="2">
        <f>30.36+100</f>
        <v>130.36</v>
      </c>
      <c r="K118" s="11"/>
      <c r="L118" s="6" t="s">
        <v>24</v>
      </c>
      <c r="M118" s="350"/>
    </row>
    <row r="119" spans="1:13" s="76" customFormat="1" ht="24.75" customHeight="1" thickBot="1">
      <c r="A119" s="378"/>
      <c r="B119" s="381"/>
      <c r="C119" s="382"/>
      <c r="D119" s="315"/>
      <c r="E119" s="385"/>
      <c r="F119" s="131"/>
      <c r="G119" s="57">
        <f t="shared" si="23"/>
        <v>0</v>
      </c>
      <c r="H119" s="131"/>
      <c r="I119" s="57"/>
      <c r="J119" s="57">
        <f>15.18+16.731+100-12.511</f>
        <v>119.4</v>
      </c>
      <c r="K119" s="132"/>
      <c r="L119" s="6" t="s">
        <v>25</v>
      </c>
      <c r="M119" s="350"/>
    </row>
    <row r="120" spans="1:13" s="76" customFormat="1" ht="26.25" customHeight="1" thickBot="1">
      <c r="A120" s="378"/>
      <c r="B120" s="381"/>
      <c r="C120" s="382"/>
      <c r="D120" s="315">
        <v>2020</v>
      </c>
      <c r="E120" s="387">
        <f>F120+G120+J120+K120</f>
        <v>155.12</v>
      </c>
      <c r="F120" s="135">
        <f aca="true" t="shared" si="24" ref="F120:K120">SUM(F122:F127)</f>
        <v>0</v>
      </c>
      <c r="G120" s="140">
        <f t="shared" si="24"/>
        <v>0</v>
      </c>
      <c r="H120" s="140">
        <f t="shared" si="24"/>
        <v>0</v>
      </c>
      <c r="I120" s="140">
        <f t="shared" si="24"/>
        <v>0</v>
      </c>
      <c r="J120" s="140">
        <f t="shared" si="24"/>
        <v>155.12</v>
      </c>
      <c r="K120" s="142">
        <f t="shared" si="24"/>
        <v>0</v>
      </c>
      <c r="L120" s="214"/>
      <c r="M120" s="350"/>
    </row>
    <row r="121" spans="1:13" s="76" customFormat="1" ht="21.75" customHeight="1">
      <c r="A121" s="378"/>
      <c r="B121" s="381"/>
      <c r="C121" s="382"/>
      <c r="D121" s="315"/>
      <c r="E121" s="385"/>
      <c r="F121" s="69"/>
      <c r="G121" s="133">
        <f t="shared" si="21"/>
        <v>0</v>
      </c>
      <c r="H121" s="69"/>
      <c r="I121" s="133"/>
      <c r="J121" s="133">
        <v>0</v>
      </c>
      <c r="K121" s="134"/>
      <c r="L121" s="6" t="s">
        <v>173</v>
      </c>
      <c r="M121" s="350"/>
    </row>
    <row r="122" spans="1:13" s="76" customFormat="1" ht="24.75" customHeight="1">
      <c r="A122" s="378"/>
      <c r="B122" s="381"/>
      <c r="C122" s="382"/>
      <c r="D122" s="315"/>
      <c r="E122" s="385"/>
      <c r="F122" s="10"/>
      <c r="G122" s="2">
        <f t="shared" si="21"/>
        <v>0</v>
      </c>
      <c r="H122" s="10"/>
      <c r="I122" s="2"/>
      <c r="J122" s="2">
        <v>29.64</v>
      </c>
      <c r="K122" s="11"/>
      <c r="L122" s="6" t="s">
        <v>15</v>
      </c>
      <c r="M122" s="350"/>
    </row>
    <row r="123" spans="1:13" s="76" customFormat="1" ht="24.75" customHeight="1">
      <c r="A123" s="378"/>
      <c r="B123" s="381"/>
      <c r="C123" s="382"/>
      <c r="D123" s="315"/>
      <c r="E123" s="385"/>
      <c r="F123" s="10"/>
      <c r="G123" s="2">
        <f>H123+I123</f>
        <v>0</v>
      </c>
      <c r="H123" s="10"/>
      <c r="I123" s="2"/>
      <c r="J123" s="2">
        <v>29.64</v>
      </c>
      <c r="K123" s="11"/>
      <c r="L123" s="6" t="s">
        <v>23</v>
      </c>
      <c r="M123" s="350"/>
    </row>
    <row r="124" spans="1:13" s="76" customFormat="1" ht="24.75" customHeight="1">
      <c r="A124" s="378"/>
      <c r="B124" s="381"/>
      <c r="C124" s="382"/>
      <c r="D124" s="315"/>
      <c r="E124" s="385"/>
      <c r="F124" s="10"/>
      <c r="G124" s="2">
        <f>H124+I124</f>
        <v>0</v>
      </c>
      <c r="H124" s="10"/>
      <c r="I124" s="2"/>
      <c r="J124" s="2">
        <v>29.64</v>
      </c>
      <c r="K124" s="11"/>
      <c r="L124" s="6" t="s">
        <v>12</v>
      </c>
      <c r="M124" s="350"/>
    </row>
    <row r="125" spans="1:13" s="76" customFormat="1" ht="24.75" customHeight="1">
      <c r="A125" s="378"/>
      <c r="B125" s="381"/>
      <c r="C125" s="382"/>
      <c r="D125" s="315"/>
      <c r="E125" s="385"/>
      <c r="F125" s="10"/>
      <c r="G125" s="2">
        <f>H125+I125</f>
        <v>0</v>
      </c>
      <c r="H125" s="10"/>
      <c r="I125" s="2"/>
      <c r="J125" s="2">
        <v>0</v>
      </c>
      <c r="K125" s="11"/>
      <c r="L125" s="6" t="s">
        <v>178</v>
      </c>
      <c r="M125" s="350"/>
    </row>
    <row r="126" spans="1:13" s="76" customFormat="1" ht="24.75" customHeight="1">
      <c r="A126" s="378"/>
      <c r="B126" s="381"/>
      <c r="C126" s="382"/>
      <c r="D126" s="315"/>
      <c r="E126" s="385"/>
      <c r="F126" s="10"/>
      <c r="G126" s="2">
        <f>H126+I126</f>
        <v>0</v>
      </c>
      <c r="H126" s="10"/>
      <c r="I126" s="2"/>
      <c r="J126" s="2">
        <v>33.6</v>
      </c>
      <c r="K126" s="11"/>
      <c r="L126" s="6" t="s">
        <v>24</v>
      </c>
      <c r="M126" s="350"/>
    </row>
    <row r="127" spans="1:13" s="76" customFormat="1" ht="24.75" customHeight="1" thickBot="1">
      <c r="A127" s="378"/>
      <c r="B127" s="381"/>
      <c r="C127" s="382"/>
      <c r="D127" s="315"/>
      <c r="E127" s="385"/>
      <c r="F127" s="131"/>
      <c r="G127" s="57">
        <f>H127+I127</f>
        <v>0</v>
      </c>
      <c r="H127" s="131"/>
      <c r="I127" s="57"/>
      <c r="J127" s="57">
        <v>32.6</v>
      </c>
      <c r="K127" s="132"/>
      <c r="L127" s="122" t="s">
        <v>25</v>
      </c>
      <c r="M127" s="350"/>
    </row>
    <row r="128" spans="1:13" s="76" customFormat="1" ht="24.75" customHeight="1" thickBot="1">
      <c r="A128" s="378"/>
      <c r="B128" s="381"/>
      <c r="C128" s="382"/>
      <c r="D128" s="315">
        <v>2021</v>
      </c>
      <c r="E128" s="387">
        <f>F128+G128+J128+K128</f>
        <v>155.12</v>
      </c>
      <c r="F128" s="140">
        <f>SUM(F129:F135)</f>
        <v>0</v>
      </c>
      <c r="G128" s="140">
        <f>SUM(G129:G135)</f>
        <v>0</v>
      </c>
      <c r="H128" s="140">
        <f>SUM(H129:H135)</f>
        <v>0</v>
      </c>
      <c r="I128" s="140">
        <f>SUM(I129:I135)</f>
        <v>0</v>
      </c>
      <c r="J128" s="140">
        <f>SUM(J129:J135)</f>
        <v>155.12</v>
      </c>
      <c r="K128" s="141"/>
      <c r="L128" s="215"/>
      <c r="M128" s="386"/>
    </row>
    <row r="129" spans="1:13" s="76" customFormat="1" ht="24.75" customHeight="1">
      <c r="A129" s="378"/>
      <c r="B129" s="381"/>
      <c r="C129" s="382"/>
      <c r="D129" s="315"/>
      <c r="E129" s="385"/>
      <c r="F129" s="69"/>
      <c r="G129" s="133"/>
      <c r="H129" s="69"/>
      <c r="I129" s="133"/>
      <c r="J129" s="133">
        <v>0</v>
      </c>
      <c r="K129" s="134"/>
      <c r="L129" s="123" t="s">
        <v>173</v>
      </c>
      <c r="M129" s="350"/>
    </row>
    <row r="130" spans="1:13" s="76" customFormat="1" ht="24.75" customHeight="1">
      <c r="A130" s="378"/>
      <c r="B130" s="381"/>
      <c r="C130" s="382"/>
      <c r="D130" s="315"/>
      <c r="E130" s="385"/>
      <c r="F130" s="10"/>
      <c r="G130" s="2"/>
      <c r="H130" s="10"/>
      <c r="I130" s="2"/>
      <c r="J130" s="2">
        <v>29.64</v>
      </c>
      <c r="K130" s="11"/>
      <c r="L130" s="6" t="s">
        <v>15</v>
      </c>
      <c r="M130" s="350"/>
    </row>
    <row r="131" spans="1:13" s="76" customFormat="1" ht="24.75" customHeight="1">
      <c r="A131" s="378"/>
      <c r="B131" s="381"/>
      <c r="C131" s="382"/>
      <c r="D131" s="315"/>
      <c r="E131" s="385"/>
      <c r="F131" s="10"/>
      <c r="G131" s="2"/>
      <c r="H131" s="10"/>
      <c r="I131" s="2"/>
      <c r="J131" s="2">
        <v>29.64</v>
      </c>
      <c r="K131" s="11"/>
      <c r="L131" s="6" t="s">
        <v>23</v>
      </c>
      <c r="M131" s="350"/>
    </row>
    <row r="132" spans="1:13" s="76" customFormat="1" ht="24.75" customHeight="1">
      <c r="A132" s="378"/>
      <c r="B132" s="381"/>
      <c r="C132" s="382"/>
      <c r="D132" s="315"/>
      <c r="E132" s="385"/>
      <c r="F132" s="10"/>
      <c r="G132" s="2"/>
      <c r="H132" s="10"/>
      <c r="I132" s="2"/>
      <c r="J132" s="2">
        <v>29.64</v>
      </c>
      <c r="K132" s="11"/>
      <c r="L132" s="6" t="s">
        <v>12</v>
      </c>
      <c r="M132" s="350"/>
    </row>
    <row r="133" spans="1:13" s="76" customFormat="1" ht="24.75" customHeight="1">
      <c r="A133" s="378"/>
      <c r="B133" s="381"/>
      <c r="C133" s="382"/>
      <c r="D133" s="315"/>
      <c r="E133" s="385"/>
      <c r="F133" s="2"/>
      <c r="G133" s="2"/>
      <c r="H133" s="10"/>
      <c r="I133" s="2"/>
      <c r="J133" s="2">
        <v>0</v>
      </c>
      <c r="K133" s="11"/>
      <c r="L133" s="6" t="s">
        <v>178</v>
      </c>
      <c r="M133" s="350"/>
    </row>
    <row r="134" spans="1:13" s="76" customFormat="1" ht="24.75" customHeight="1">
      <c r="A134" s="378"/>
      <c r="B134" s="381"/>
      <c r="C134" s="382"/>
      <c r="D134" s="315"/>
      <c r="E134" s="385"/>
      <c r="F134" s="10"/>
      <c r="G134" s="2"/>
      <c r="H134" s="10"/>
      <c r="I134" s="2"/>
      <c r="J134" s="2">
        <v>33.6</v>
      </c>
      <c r="K134" s="11"/>
      <c r="L134" s="6" t="s">
        <v>24</v>
      </c>
      <c r="M134" s="350"/>
    </row>
    <row r="135" spans="1:13" s="76" customFormat="1" ht="24.75" customHeight="1" thickBot="1">
      <c r="A135" s="378"/>
      <c r="B135" s="381"/>
      <c r="C135" s="382"/>
      <c r="D135" s="315"/>
      <c r="E135" s="385"/>
      <c r="F135" s="131"/>
      <c r="G135" s="57"/>
      <c r="H135" s="131"/>
      <c r="I135" s="57"/>
      <c r="J135" s="57">
        <v>32.6</v>
      </c>
      <c r="K135" s="132"/>
      <c r="L135" s="122" t="s">
        <v>25</v>
      </c>
      <c r="M135" s="350"/>
    </row>
    <row r="136" spans="1:13" s="76" customFormat="1" ht="24.75" customHeight="1" thickBot="1">
      <c r="A136" s="378"/>
      <c r="B136" s="381"/>
      <c r="C136" s="382"/>
      <c r="D136" s="388">
        <v>2022</v>
      </c>
      <c r="E136" s="387">
        <f>F136+G136+J136+K136</f>
        <v>155.12</v>
      </c>
      <c r="F136" s="140">
        <f>SUM(F137:F143)</f>
        <v>0</v>
      </c>
      <c r="G136" s="140">
        <f>SUM(G137:G143)</f>
        <v>0</v>
      </c>
      <c r="H136" s="140">
        <f>SUM(H137:H143)</f>
        <v>0</v>
      </c>
      <c r="I136" s="140">
        <f>SUM(I137:I143)</f>
        <v>0</v>
      </c>
      <c r="J136" s="140">
        <f>SUM(J137:J143)</f>
        <v>155.12</v>
      </c>
      <c r="K136" s="141"/>
      <c r="L136" s="215"/>
      <c r="M136" s="386"/>
    </row>
    <row r="137" spans="1:13" s="76" customFormat="1" ht="24.75" customHeight="1">
      <c r="A137" s="378"/>
      <c r="B137" s="381"/>
      <c r="C137" s="382"/>
      <c r="D137" s="389"/>
      <c r="E137" s="385"/>
      <c r="F137" s="69"/>
      <c r="G137" s="133"/>
      <c r="H137" s="69"/>
      <c r="I137" s="133"/>
      <c r="J137" s="133">
        <v>0</v>
      </c>
      <c r="K137" s="134"/>
      <c r="L137" s="123" t="s">
        <v>173</v>
      </c>
      <c r="M137" s="350"/>
    </row>
    <row r="138" spans="1:13" s="76" customFormat="1" ht="24.75" customHeight="1">
      <c r="A138" s="378"/>
      <c r="B138" s="381"/>
      <c r="C138" s="382"/>
      <c r="D138" s="389"/>
      <c r="E138" s="385"/>
      <c r="F138" s="10"/>
      <c r="G138" s="2"/>
      <c r="H138" s="10"/>
      <c r="I138" s="2"/>
      <c r="J138" s="2">
        <v>29.64</v>
      </c>
      <c r="K138" s="11"/>
      <c r="L138" s="6" t="s">
        <v>15</v>
      </c>
      <c r="M138" s="350"/>
    </row>
    <row r="139" spans="1:13" s="76" customFormat="1" ht="24.75" customHeight="1">
      <c r="A139" s="378"/>
      <c r="B139" s="381"/>
      <c r="C139" s="382"/>
      <c r="D139" s="389"/>
      <c r="E139" s="385"/>
      <c r="F139" s="10"/>
      <c r="G139" s="2"/>
      <c r="H139" s="10"/>
      <c r="I139" s="2"/>
      <c r="J139" s="2">
        <v>29.64</v>
      </c>
      <c r="K139" s="11"/>
      <c r="L139" s="6" t="s">
        <v>23</v>
      </c>
      <c r="M139" s="350"/>
    </row>
    <row r="140" spans="1:13" s="76" customFormat="1" ht="24.75" customHeight="1">
      <c r="A140" s="378"/>
      <c r="B140" s="381"/>
      <c r="C140" s="382"/>
      <c r="D140" s="389"/>
      <c r="E140" s="385"/>
      <c r="F140" s="10"/>
      <c r="G140" s="2"/>
      <c r="H140" s="10"/>
      <c r="I140" s="2"/>
      <c r="J140" s="2">
        <v>29.64</v>
      </c>
      <c r="K140" s="11"/>
      <c r="L140" s="6" t="s">
        <v>12</v>
      </c>
      <c r="M140" s="350"/>
    </row>
    <row r="141" spans="1:13" s="76" customFormat="1" ht="24.75" customHeight="1">
      <c r="A141" s="378"/>
      <c r="B141" s="381"/>
      <c r="C141" s="382"/>
      <c r="D141" s="389"/>
      <c r="E141" s="385"/>
      <c r="F141" s="10"/>
      <c r="G141" s="2"/>
      <c r="H141" s="10"/>
      <c r="I141" s="2"/>
      <c r="J141" s="2">
        <v>0</v>
      </c>
      <c r="K141" s="11"/>
      <c r="L141" s="6" t="s">
        <v>178</v>
      </c>
      <c r="M141" s="350"/>
    </row>
    <row r="142" spans="1:13" s="76" customFormat="1" ht="24.75" customHeight="1">
      <c r="A142" s="378"/>
      <c r="B142" s="381"/>
      <c r="C142" s="382"/>
      <c r="D142" s="389"/>
      <c r="E142" s="385"/>
      <c r="F142" s="10"/>
      <c r="G142" s="2"/>
      <c r="H142" s="10"/>
      <c r="I142" s="2"/>
      <c r="J142" s="2">
        <v>33.6</v>
      </c>
      <c r="K142" s="11"/>
      <c r="L142" s="6" t="s">
        <v>24</v>
      </c>
      <c r="M142" s="350"/>
    </row>
    <row r="143" spans="1:13" s="76" customFormat="1" ht="24.75" customHeight="1" thickBot="1">
      <c r="A143" s="378"/>
      <c r="B143" s="383"/>
      <c r="C143" s="384"/>
      <c r="D143" s="390"/>
      <c r="E143" s="385"/>
      <c r="F143" s="131"/>
      <c r="G143" s="57"/>
      <c r="H143" s="131"/>
      <c r="I143" s="57"/>
      <c r="J143" s="57">
        <v>32.6</v>
      </c>
      <c r="K143" s="132"/>
      <c r="L143" s="6" t="s">
        <v>25</v>
      </c>
      <c r="M143" s="350"/>
    </row>
    <row r="144" spans="1:13" s="76" customFormat="1" ht="27.75" customHeight="1" thickBot="1">
      <c r="A144" s="391" t="s">
        <v>85</v>
      </c>
      <c r="B144" s="394" t="s">
        <v>130</v>
      </c>
      <c r="C144" s="395"/>
      <c r="D144" s="388">
        <v>2019</v>
      </c>
      <c r="E144" s="387">
        <f>F144+G144+J144+K144</f>
        <v>47.04</v>
      </c>
      <c r="F144" s="135">
        <f>SUM(F145:F150)</f>
        <v>0</v>
      </c>
      <c r="G144" s="136">
        <f>H144+I144</f>
        <v>0</v>
      </c>
      <c r="H144" s="140">
        <f>SUM(H145:H150)</f>
        <v>0</v>
      </c>
      <c r="I144" s="140">
        <f>SUM(I145:I150)</f>
        <v>0</v>
      </c>
      <c r="J144" s="140">
        <f>SUM(J145:J150)</f>
        <v>47.04</v>
      </c>
      <c r="K144" s="141"/>
      <c r="L144" s="214"/>
      <c r="M144" s="350"/>
    </row>
    <row r="145" spans="1:13" s="76" customFormat="1" ht="24.75" customHeight="1">
      <c r="A145" s="392"/>
      <c r="B145" s="396"/>
      <c r="C145" s="397"/>
      <c r="D145" s="389"/>
      <c r="E145" s="385"/>
      <c r="F145" s="69"/>
      <c r="G145" s="133">
        <f aca="true" t="shared" si="25" ref="G145:G166">H145+I145</f>
        <v>0</v>
      </c>
      <c r="H145" s="69"/>
      <c r="I145" s="133"/>
      <c r="J145" s="133">
        <v>4.5</v>
      </c>
      <c r="K145" s="134"/>
      <c r="L145" s="6" t="s">
        <v>131</v>
      </c>
      <c r="M145" s="350"/>
    </row>
    <row r="146" spans="1:13" s="76" customFormat="1" ht="24.75" customHeight="1">
      <c r="A146" s="392"/>
      <c r="B146" s="396"/>
      <c r="C146" s="397"/>
      <c r="D146" s="389"/>
      <c r="E146" s="385"/>
      <c r="F146" s="10"/>
      <c r="G146" s="2">
        <f t="shared" si="25"/>
        <v>0</v>
      </c>
      <c r="H146" s="10"/>
      <c r="I146" s="2"/>
      <c r="J146" s="2">
        <v>6</v>
      </c>
      <c r="K146" s="11"/>
      <c r="L146" s="6" t="s">
        <v>132</v>
      </c>
      <c r="M146" s="350"/>
    </row>
    <row r="147" spans="1:13" s="76" customFormat="1" ht="24.75" customHeight="1">
      <c r="A147" s="392"/>
      <c r="B147" s="396"/>
      <c r="C147" s="397"/>
      <c r="D147" s="389"/>
      <c r="E147" s="385"/>
      <c r="F147" s="10"/>
      <c r="G147" s="2">
        <f t="shared" si="25"/>
        <v>0</v>
      </c>
      <c r="H147" s="10"/>
      <c r="I147" s="2"/>
      <c r="J147" s="2">
        <v>4.5</v>
      </c>
      <c r="K147" s="11"/>
      <c r="L147" s="6" t="s">
        <v>133</v>
      </c>
      <c r="M147" s="350"/>
    </row>
    <row r="148" spans="1:13" s="76" customFormat="1" ht="24.75" customHeight="1">
      <c r="A148" s="392"/>
      <c r="B148" s="396"/>
      <c r="C148" s="397"/>
      <c r="D148" s="389"/>
      <c r="E148" s="385"/>
      <c r="F148" s="10"/>
      <c r="G148" s="2">
        <f t="shared" si="25"/>
        <v>0</v>
      </c>
      <c r="H148" s="10"/>
      <c r="I148" s="2"/>
      <c r="J148" s="2">
        <v>20.04</v>
      </c>
      <c r="K148" s="11"/>
      <c r="L148" s="6" t="s">
        <v>48</v>
      </c>
      <c r="M148" s="350"/>
    </row>
    <row r="149" spans="1:13" s="76" customFormat="1" ht="24.75" customHeight="1">
      <c r="A149" s="392"/>
      <c r="B149" s="396"/>
      <c r="C149" s="397"/>
      <c r="D149" s="389"/>
      <c r="E149" s="385"/>
      <c r="F149" s="10"/>
      <c r="G149" s="2">
        <f t="shared" si="25"/>
        <v>0</v>
      </c>
      <c r="H149" s="10"/>
      <c r="I149" s="2"/>
      <c r="J149" s="2">
        <v>12</v>
      </c>
      <c r="K149" s="11"/>
      <c r="L149" s="6" t="s">
        <v>3</v>
      </c>
      <c r="M149" s="350"/>
    </row>
    <row r="150" spans="1:13" s="76" customFormat="1" ht="24.75" customHeight="1" thickBot="1">
      <c r="A150" s="392"/>
      <c r="B150" s="396"/>
      <c r="C150" s="397"/>
      <c r="D150" s="390"/>
      <c r="E150" s="385"/>
      <c r="F150" s="131"/>
      <c r="G150" s="57">
        <f t="shared" si="25"/>
        <v>0</v>
      </c>
      <c r="H150" s="131"/>
      <c r="I150" s="57"/>
      <c r="J150" s="57">
        <v>0</v>
      </c>
      <c r="K150" s="132"/>
      <c r="L150" s="6"/>
      <c r="M150" s="350"/>
    </row>
    <row r="151" spans="1:13" s="76" customFormat="1" ht="24.75" customHeight="1" thickBot="1">
      <c r="A151" s="392"/>
      <c r="B151" s="396"/>
      <c r="C151" s="397"/>
      <c r="D151" s="315">
        <v>2020</v>
      </c>
      <c r="E151" s="387">
        <f>F151+G151+J151+K151</f>
        <v>47.04</v>
      </c>
      <c r="F151" s="138"/>
      <c r="G151" s="74">
        <f t="shared" si="25"/>
        <v>0</v>
      </c>
      <c r="H151" s="74">
        <f>H152+H153+H154+H155+H157+H158</f>
        <v>0</v>
      </c>
      <c r="I151" s="74">
        <f>I152+I153+I154+I155+I157+I158</f>
        <v>0</v>
      </c>
      <c r="J151" s="74">
        <f>SUM(J152:J158)</f>
        <v>47.04</v>
      </c>
      <c r="K151" s="139">
        <f>K152+K153+K154+K155+K157+K158</f>
        <v>0</v>
      </c>
      <c r="L151" s="214"/>
      <c r="M151" s="350"/>
    </row>
    <row r="152" spans="1:13" s="76" customFormat="1" ht="36.75" customHeight="1">
      <c r="A152" s="392"/>
      <c r="B152" s="396"/>
      <c r="C152" s="397"/>
      <c r="D152" s="315"/>
      <c r="E152" s="385"/>
      <c r="F152" s="137"/>
      <c r="G152" s="137">
        <f t="shared" si="25"/>
        <v>0</v>
      </c>
      <c r="H152" s="137"/>
      <c r="I152" s="121"/>
      <c r="J152" s="121">
        <v>12</v>
      </c>
      <c r="K152" s="120"/>
      <c r="L152" s="6" t="s">
        <v>173</v>
      </c>
      <c r="M152" s="350"/>
    </row>
    <row r="153" spans="1:13" s="76" customFormat="1" ht="24.75" customHeight="1">
      <c r="A153" s="392"/>
      <c r="B153" s="396"/>
      <c r="C153" s="397"/>
      <c r="D153" s="315"/>
      <c r="E153" s="385"/>
      <c r="F153" s="24"/>
      <c r="G153" s="24">
        <f t="shared" si="25"/>
        <v>0</v>
      </c>
      <c r="H153" s="24"/>
      <c r="I153" s="26"/>
      <c r="J153" s="26">
        <v>4.5</v>
      </c>
      <c r="K153" s="35"/>
      <c r="L153" s="6" t="s">
        <v>15</v>
      </c>
      <c r="M153" s="350"/>
    </row>
    <row r="154" spans="1:13" s="76" customFormat="1" ht="24.75" customHeight="1">
      <c r="A154" s="392"/>
      <c r="B154" s="396"/>
      <c r="C154" s="397"/>
      <c r="D154" s="315"/>
      <c r="E154" s="385"/>
      <c r="F154" s="24"/>
      <c r="G154" s="24">
        <f t="shared" si="25"/>
        <v>0</v>
      </c>
      <c r="H154" s="24"/>
      <c r="I154" s="26"/>
      <c r="J154" s="26">
        <v>6</v>
      </c>
      <c r="K154" s="35"/>
      <c r="L154" s="6" t="s">
        <v>23</v>
      </c>
      <c r="M154" s="350"/>
    </row>
    <row r="155" spans="1:13" s="76" customFormat="1" ht="24.75" customHeight="1">
      <c r="A155" s="392"/>
      <c r="B155" s="396"/>
      <c r="C155" s="397"/>
      <c r="D155" s="315"/>
      <c r="E155" s="385"/>
      <c r="F155" s="24"/>
      <c r="G155" s="24">
        <f t="shared" si="25"/>
        <v>0</v>
      </c>
      <c r="H155" s="24"/>
      <c r="I155" s="26"/>
      <c r="J155" s="26">
        <v>4.5</v>
      </c>
      <c r="K155" s="35"/>
      <c r="L155" s="6" t="s">
        <v>12</v>
      </c>
      <c r="M155" s="350"/>
    </row>
    <row r="156" spans="1:13" s="76" customFormat="1" ht="24.75" customHeight="1">
      <c r="A156" s="392"/>
      <c r="B156" s="396"/>
      <c r="C156" s="397"/>
      <c r="D156" s="315"/>
      <c r="E156" s="385"/>
      <c r="F156" s="24"/>
      <c r="G156" s="24">
        <f t="shared" si="25"/>
        <v>0</v>
      </c>
      <c r="H156" s="24"/>
      <c r="I156" s="26"/>
      <c r="J156" s="2">
        <v>20.04</v>
      </c>
      <c r="K156" s="11"/>
      <c r="L156" s="6" t="s">
        <v>48</v>
      </c>
      <c r="M156" s="350"/>
    </row>
    <row r="157" spans="1:13" s="76" customFormat="1" ht="24.75" customHeight="1">
      <c r="A157" s="392"/>
      <c r="B157" s="396"/>
      <c r="C157" s="397"/>
      <c r="D157" s="315"/>
      <c r="E157" s="385"/>
      <c r="F157" s="24"/>
      <c r="G157" s="24">
        <f t="shared" si="25"/>
        <v>0</v>
      </c>
      <c r="H157" s="24"/>
      <c r="I157" s="26"/>
      <c r="J157" s="26">
        <v>0</v>
      </c>
      <c r="K157" s="35"/>
      <c r="L157" s="6" t="s">
        <v>24</v>
      </c>
      <c r="M157" s="350"/>
    </row>
    <row r="158" spans="1:13" s="76" customFormat="1" ht="24.75" customHeight="1" thickBot="1">
      <c r="A158" s="392"/>
      <c r="B158" s="396"/>
      <c r="C158" s="397"/>
      <c r="D158" s="315"/>
      <c r="E158" s="385"/>
      <c r="F158" s="106"/>
      <c r="G158" s="106">
        <f t="shared" si="25"/>
        <v>0</v>
      </c>
      <c r="H158" s="106"/>
      <c r="I158" s="72"/>
      <c r="J158" s="72">
        <v>0</v>
      </c>
      <c r="K158" s="119"/>
      <c r="L158" s="122" t="s">
        <v>25</v>
      </c>
      <c r="M158" s="350"/>
    </row>
    <row r="159" spans="1:13" s="76" customFormat="1" ht="24.75" customHeight="1" thickBot="1">
      <c r="A159" s="392"/>
      <c r="B159" s="396"/>
      <c r="C159" s="397"/>
      <c r="D159" s="315">
        <v>2021</v>
      </c>
      <c r="E159" s="387">
        <f>F159+G159+J159+K159</f>
        <v>47.04</v>
      </c>
      <c r="F159" s="138"/>
      <c r="G159" s="74">
        <f t="shared" si="25"/>
        <v>0</v>
      </c>
      <c r="H159" s="74">
        <f>H160+H161+H162+H163+H165+H166</f>
        <v>0</v>
      </c>
      <c r="I159" s="74">
        <f>I160+I161+I162+I163+I165+I166</f>
        <v>0</v>
      </c>
      <c r="J159" s="74">
        <f>SUM(J160:J166)</f>
        <v>47.04</v>
      </c>
      <c r="K159" s="74">
        <f>K160+K161+K162+K163+K165+K166</f>
        <v>0</v>
      </c>
      <c r="L159" s="216"/>
      <c r="M159" s="386"/>
    </row>
    <row r="160" spans="1:13" s="76" customFormat="1" ht="36" customHeight="1">
      <c r="A160" s="392"/>
      <c r="B160" s="396"/>
      <c r="C160" s="397"/>
      <c r="D160" s="315"/>
      <c r="E160" s="385"/>
      <c r="F160" s="137"/>
      <c r="G160" s="137">
        <f t="shared" si="25"/>
        <v>0</v>
      </c>
      <c r="H160" s="137"/>
      <c r="I160" s="121"/>
      <c r="J160" s="121">
        <v>12</v>
      </c>
      <c r="K160" s="120"/>
      <c r="L160" s="123" t="s">
        <v>173</v>
      </c>
      <c r="M160" s="350"/>
    </row>
    <row r="161" spans="1:13" s="76" customFormat="1" ht="24.75" customHeight="1">
      <c r="A161" s="392"/>
      <c r="B161" s="396"/>
      <c r="C161" s="397"/>
      <c r="D161" s="315"/>
      <c r="E161" s="385"/>
      <c r="F161" s="24"/>
      <c r="G161" s="24">
        <f t="shared" si="25"/>
        <v>0</v>
      </c>
      <c r="H161" s="24"/>
      <c r="I161" s="26"/>
      <c r="J161" s="26">
        <v>4.5</v>
      </c>
      <c r="K161" s="35"/>
      <c r="L161" s="6" t="s">
        <v>15</v>
      </c>
      <c r="M161" s="350"/>
    </row>
    <row r="162" spans="1:13" s="76" customFormat="1" ht="24.75" customHeight="1">
      <c r="A162" s="392"/>
      <c r="B162" s="396"/>
      <c r="C162" s="397"/>
      <c r="D162" s="315"/>
      <c r="E162" s="385"/>
      <c r="F162" s="24"/>
      <c r="G162" s="24">
        <f t="shared" si="25"/>
        <v>0</v>
      </c>
      <c r="H162" s="24"/>
      <c r="I162" s="26"/>
      <c r="J162" s="26">
        <v>6</v>
      </c>
      <c r="K162" s="35"/>
      <c r="L162" s="6" t="s">
        <v>23</v>
      </c>
      <c r="M162" s="350"/>
    </row>
    <row r="163" spans="1:13" s="76" customFormat="1" ht="24.75" customHeight="1">
      <c r="A163" s="392"/>
      <c r="B163" s="396"/>
      <c r="C163" s="397"/>
      <c r="D163" s="315"/>
      <c r="E163" s="385"/>
      <c r="F163" s="24"/>
      <c r="G163" s="24">
        <f t="shared" si="25"/>
        <v>0</v>
      </c>
      <c r="H163" s="24"/>
      <c r="I163" s="26"/>
      <c r="J163" s="26">
        <v>4.5</v>
      </c>
      <c r="K163" s="35"/>
      <c r="L163" s="6" t="s">
        <v>12</v>
      </c>
      <c r="M163" s="350"/>
    </row>
    <row r="164" spans="1:13" s="76" customFormat="1" ht="24.75" customHeight="1">
      <c r="A164" s="392"/>
      <c r="B164" s="396"/>
      <c r="C164" s="397"/>
      <c r="D164" s="315"/>
      <c r="E164" s="385"/>
      <c r="F164" s="24"/>
      <c r="G164" s="24">
        <f t="shared" si="25"/>
        <v>0</v>
      </c>
      <c r="H164" s="24"/>
      <c r="I164" s="26"/>
      <c r="J164" s="26">
        <v>20.04</v>
      </c>
      <c r="K164" s="35"/>
      <c r="L164" s="6" t="s">
        <v>48</v>
      </c>
      <c r="M164" s="350"/>
    </row>
    <row r="165" spans="1:13" s="76" customFormat="1" ht="24.75" customHeight="1">
      <c r="A165" s="392"/>
      <c r="B165" s="396"/>
      <c r="C165" s="397"/>
      <c r="D165" s="315"/>
      <c r="E165" s="385"/>
      <c r="F165" s="24"/>
      <c r="G165" s="24">
        <f t="shared" si="25"/>
        <v>0</v>
      </c>
      <c r="H165" s="24"/>
      <c r="I165" s="26"/>
      <c r="J165" s="26">
        <v>0</v>
      </c>
      <c r="K165" s="35"/>
      <c r="L165" s="6" t="s">
        <v>24</v>
      </c>
      <c r="M165" s="350"/>
    </row>
    <row r="166" spans="1:13" s="76" customFormat="1" ht="24.75" customHeight="1" thickBot="1">
      <c r="A166" s="392"/>
      <c r="B166" s="396"/>
      <c r="C166" s="397"/>
      <c r="D166" s="315"/>
      <c r="E166" s="385"/>
      <c r="F166" s="106"/>
      <c r="G166" s="106">
        <f t="shared" si="25"/>
        <v>0</v>
      </c>
      <c r="H166" s="106"/>
      <c r="I166" s="72"/>
      <c r="J166" s="72">
        <v>0</v>
      </c>
      <c r="K166" s="119"/>
      <c r="L166" s="6" t="s">
        <v>25</v>
      </c>
      <c r="M166" s="350"/>
    </row>
    <row r="167" spans="1:13" s="76" customFormat="1" ht="24" customHeight="1" thickBot="1">
      <c r="A167" s="392"/>
      <c r="B167" s="396"/>
      <c r="C167" s="397"/>
      <c r="D167" s="388">
        <v>2022</v>
      </c>
      <c r="E167" s="387">
        <f>F167+G167+J167+K167</f>
        <v>47.04</v>
      </c>
      <c r="F167" s="138"/>
      <c r="G167" s="74">
        <f>SUM(G168:G174)</f>
        <v>0</v>
      </c>
      <c r="H167" s="74">
        <f>SUM(H168:H174)</f>
        <v>0</v>
      </c>
      <c r="I167" s="74">
        <f>SUM(I168:I174)</f>
        <v>0</v>
      </c>
      <c r="J167" s="74">
        <f>SUM(J168:J174)</f>
        <v>47.04</v>
      </c>
      <c r="K167" s="74">
        <f>SUM(K168:K174)</f>
        <v>0</v>
      </c>
      <c r="L167" s="214"/>
      <c r="M167" s="23"/>
    </row>
    <row r="168" spans="1:13" s="76" customFormat="1" ht="36" customHeight="1">
      <c r="A168" s="392"/>
      <c r="B168" s="396"/>
      <c r="C168" s="397"/>
      <c r="D168" s="389"/>
      <c r="E168" s="385"/>
      <c r="F168" s="137"/>
      <c r="G168" s="137"/>
      <c r="H168" s="137"/>
      <c r="I168" s="121"/>
      <c r="J168" s="121">
        <v>12</v>
      </c>
      <c r="K168" s="120"/>
      <c r="L168" s="6" t="s">
        <v>173</v>
      </c>
      <c r="M168" s="23"/>
    </row>
    <row r="169" spans="1:13" s="76" customFormat="1" ht="24.75" customHeight="1">
      <c r="A169" s="392"/>
      <c r="B169" s="396"/>
      <c r="C169" s="397"/>
      <c r="D169" s="389"/>
      <c r="E169" s="385"/>
      <c r="F169" s="24"/>
      <c r="G169" s="24"/>
      <c r="H169" s="24"/>
      <c r="I169" s="26"/>
      <c r="J169" s="26">
        <v>4.5</v>
      </c>
      <c r="K169" s="35"/>
      <c r="L169" s="6" t="s">
        <v>15</v>
      </c>
      <c r="M169" s="23"/>
    </row>
    <row r="170" spans="1:13" s="76" customFormat="1" ht="24.75" customHeight="1">
      <c r="A170" s="392"/>
      <c r="B170" s="396"/>
      <c r="C170" s="397"/>
      <c r="D170" s="389"/>
      <c r="E170" s="385"/>
      <c r="F170" s="24"/>
      <c r="G170" s="24"/>
      <c r="H170" s="24"/>
      <c r="I170" s="26"/>
      <c r="J170" s="26">
        <v>6</v>
      </c>
      <c r="K170" s="35"/>
      <c r="L170" s="6" t="s">
        <v>23</v>
      </c>
      <c r="M170" s="23"/>
    </row>
    <row r="171" spans="1:13" s="76" customFormat="1" ht="24.75" customHeight="1">
      <c r="A171" s="392"/>
      <c r="B171" s="396"/>
      <c r="C171" s="397"/>
      <c r="D171" s="389"/>
      <c r="E171" s="385"/>
      <c r="F171" s="24"/>
      <c r="G171" s="24"/>
      <c r="H171" s="24"/>
      <c r="I171" s="26"/>
      <c r="J171" s="26">
        <v>4.5</v>
      </c>
      <c r="K171" s="35"/>
      <c r="L171" s="6" t="s">
        <v>12</v>
      </c>
      <c r="M171" s="23"/>
    </row>
    <row r="172" spans="1:13" s="76" customFormat="1" ht="24.75" customHeight="1">
      <c r="A172" s="392"/>
      <c r="B172" s="396"/>
      <c r="C172" s="397"/>
      <c r="D172" s="389"/>
      <c r="E172" s="385"/>
      <c r="F172" s="24"/>
      <c r="G172" s="24"/>
      <c r="H172" s="24"/>
      <c r="I172" s="26"/>
      <c r="J172" s="26">
        <v>20.04</v>
      </c>
      <c r="K172" s="35"/>
      <c r="L172" s="6" t="s">
        <v>48</v>
      </c>
      <c r="M172" s="23"/>
    </row>
    <row r="173" spans="1:13" s="76" customFormat="1" ht="24.75" customHeight="1">
      <c r="A173" s="392"/>
      <c r="B173" s="396"/>
      <c r="C173" s="397"/>
      <c r="D173" s="389"/>
      <c r="E173" s="385"/>
      <c r="F173" s="24"/>
      <c r="G173" s="24"/>
      <c r="H173" s="24"/>
      <c r="I173" s="26"/>
      <c r="J173" s="26">
        <v>0</v>
      </c>
      <c r="K173" s="35"/>
      <c r="L173" s="6" t="s">
        <v>24</v>
      </c>
      <c r="M173" s="23"/>
    </row>
    <row r="174" spans="1:13" s="76" customFormat="1" ht="24.75" customHeight="1">
      <c r="A174" s="393"/>
      <c r="B174" s="398"/>
      <c r="C174" s="399"/>
      <c r="D174" s="390"/>
      <c r="E174" s="385"/>
      <c r="F174" s="24"/>
      <c r="G174" s="24"/>
      <c r="H174" s="24"/>
      <c r="I174" s="26"/>
      <c r="J174" s="26">
        <v>0</v>
      </c>
      <c r="K174" s="35"/>
      <c r="L174" s="6" t="s">
        <v>25</v>
      </c>
      <c r="M174" s="23"/>
    </row>
    <row r="175" spans="1:13" s="76" customFormat="1" ht="24.75" customHeight="1">
      <c r="A175" s="400" t="s">
        <v>240</v>
      </c>
      <c r="B175" s="350" t="s">
        <v>223</v>
      </c>
      <c r="C175" s="350"/>
      <c r="D175" s="42">
        <v>2017</v>
      </c>
      <c r="E175" s="24">
        <f aca="true" t="shared" si="26" ref="E175:E182">F175+G175+J175+K175</f>
        <v>169.78</v>
      </c>
      <c r="F175" s="24"/>
      <c r="G175" s="24">
        <f aca="true" t="shared" si="27" ref="G175:G182">H175+I175</f>
        <v>155.2</v>
      </c>
      <c r="H175" s="24"/>
      <c r="I175" s="24">
        <v>155.2</v>
      </c>
      <c r="J175" s="24">
        <f>15-0.42</f>
        <v>14.58</v>
      </c>
      <c r="K175" s="35"/>
      <c r="L175" s="6" t="s">
        <v>50</v>
      </c>
      <c r="M175" s="350" t="s">
        <v>59</v>
      </c>
    </row>
    <row r="176" spans="1:13" s="76" customFormat="1" ht="24.75" customHeight="1">
      <c r="A176" s="400"/>
      <c r="B176" s="350"/>
      <c r="C176" s="350"/>
      <c r="D176" s="42">
        <v>2018</v>
      </c>
      <c r="E176" s="24">
        <f t="shared" si="26"/>
        <v>162.2</v>
      </c>
      <c r="F176" s="24"/>
      <c r="G176" s="24">
        <f t="shared" si="27"/>
        <v>162.2</v>
      </c>
      <c r="H176" s="24"/>
      <c r="I176" s="24">
        <v>162.2</v>
      </c>
      <c r="J176" s="26"/>
      <c r="K176" s="35"/>
      <c r="L176" s="6" t="s">
        <v>50</v>
      </c>
      <c r="M176" s="350"/>
    </row>
    <row r="177" spans="1:13" s="76" customFormat="1" ht="24.75" customHeight="1">
      <c r="A177" s="400"/>
      <c r="B177" s="350"/>
      <c r="C177" s="350"/>
      <c r="D177" s="42">
        <v>2019</v>
      </c>
      <c r="E177" s="24">
        <f t="shared" si="26"/>
        <v>481.1</v>
      </c>
      <c r="F177" s="24"/>
      <c r="G177" s="24">
        <f t="shared" si="27"/>
        <v>481.1</v>
      </c>
      <c r="H177" s="24"/>
      <c r="I177" s="24">
        <v>481.1</v>
      </c>
      <c r="J177" s="26"/>
      <c r="K177" s="35"/>
      <c r="L177" s="6" t="s">
        <v>50</v>
      </c>
      <c r="M177" s="350"/>
    </row>
    <row r="178" spans="1:13" s="76" customFormat="1" ht="24.75" customHeight="1">
      <c r="A178" s="400"/>
      <c r="B178" s="350"/>
      <c r="C178" s="350"/>
      <c r="D178" s="42">
        <v>2020</v>
      </c>
      <c r="E178" s="24">
        <f>F178+G178+J178+K178</f>
        <v>163.2</v>
      </c>
      <c r="F178" s="24"/>
      <c r="G178" s="24">
        <f t="shared" si="27"/>
        <v>163.2</v>
      </c>
      <c r="H178" s="24"/>
      <c r="I178" s="24">
        <v>163.2</v>
      </c>
      <c r="J178" s="26"/>
      <c r="K178" s="35"/>
      <c r="L178" s="6" t="s">
        <v>50</v>
      </c>
      <c r="M178" s="350"/>
    </row>
    <row r="179" spans="1:13" s="76" customFormat="1" ht="24.75" customHeight="1">
      <c r="A179" s="400"/>
      <c r="B179" s="350"/>
      <c r="C179" s="350"/>
      <c r="D179" s="42">
        <v>2021</v>
      </c>
      <c r="E179" s="24">
        <f>F179+G179+J179+K179</f>
        <v>163.2</v>
      </c>
      <c r="F179" s="24"/>
      <c r="G179" s="24">
        <f>H179+I179</f>
        <v>163.2</v>
      </c>
      <c r="H179" s="24"/>
      <c r="I179" s="24">
        <v>163.2</v>
      </c>
      <c r="J179" s="26"/>
      <c r="K179" s="35"/>
      <c r="L179" s="6" t="s">
        <v>50</v>
      </c>
      <c r="M179" s="350"/>
    </row>
    <row r="180" spans="1:13" s="76" customFormat="1" ht="24.75" customHeight="1">
      <c r="A180" s="400"/>
      <c r="B180" s="350"/>
      <c r="C180" s="350"/>
      <c r="D180" s="42">
        <v>2022</v>
      </c>
      <c r="E180" s="24">
        <f t="shared" si="26"/>
        <v>163.2</v>
      </c>
      <c r="F180" s="24"/>
      <c r="G180" s="24">
        <f t="shared" si="27"/>
        <v>163.2</v>
      </c>
      <c r="H180" s="24"/>
      <c r="I180" s="24">
        <v>163.2</v>
      </c>
      <c r="J180" s="26"/>
      <c r="K180" s="35"/>
      <c r="L180" s="6" t="s">
        <v>50</v>
      </c>
      <c r="M180" s="350"/>
    </row>
    <row r="181" spans="1:13" s="76" customFormat="1" ht="79.5" customHeight="1">
      <c r="A181" s="125" t="s">
        <v>241</v>
      </c>
      <c r="B181" s="337" t="s">
        <v>222</v>
      </c>
      <c r="C181" s="337"/>
      <c r="D181" s="42">
        <v>2019</v>
      </c>
      <c r="E181" s="24">
        <f>F181+G181+J181+K181</f>
        <v>96.58</v>
      </c>
      <c r="F181" s="24"/>
      <c r="G181" s="24">
        <f>H181+I181</f>
        <v>0</v>
      </c>
      <c r="H181" s="24"/>
      <c r="I181" s="24"/>
      <c r="J181" s="24">
        <v>96.58</v>
      </c>
      <c r="K181" s="35"/>
      <c r="L181" s="6" t="s">
        <v>184</v>
      </c>
      <c r="M181" s="23"/>
    </row>
    <row r="182" spans="1:13" s="76" customFormat="1" ht="71.25" customHeight="1" thickBot="1">
      <c r="A182" s="81" t="s">
        <v>118</v>
      </c>
      <c r="B182" s="350" t="s">
        <v>86</v>
      </c>
      <c r="C182" s="350"/>
      <c r="D182" s="42">
        <v>2017</v>
      </c>
      <c r="E182" s="106">
        <f t="shared" si="26"/>
        <v>2375.768</v>
      </c>
      <c r="F182" s="24"/>
      <c r="G182" s="24">
        <f t="shared" si="27"/>
        <v>0</v>
      </c>
      <c r="H182" s="73"/>
      <c r="I182" s="73"/>
      <c r="J182" s="24">
        <v>2375.768</v>
      </c>
      <c r="K182" s="35"/>
      <c r="L182" s="122" t="s">
        <v>41</v>
      </c>
      <c r="M182" s="23" t="s">
        <v>65</v>
      </c>
    </row>
    <row r="183" spans="1:13" s="88" customFormat="1" ht="46.5" customHeight="1" thickBot="1">
      <c r="A183" s="248" t="s">
        <v>242</v>
      </c>
      <c r="B183" s="401" t="s">
        <v>160</v>
      </c>
      <c r="C183" s="401"/>
      <c r="D183" s="189">
        <v>2019</v>
      </c>
      <c r="E183" s="190">
        <f>F183+G183+J183+K183</f>
        <v>330</v>
      </c>
      <c r="F183" s="191"/>
      <c r="G183" s="192">
        <f>H183+I183</f>
        <v>0</v>
      </c>
      <c r="H183" s="192">
        <v>0</v>
      </c>
      <c r="I183" s="192">
        <v>0</v>
      </c>
      <c r="J183" s="192">
        <f>330.278-0.278</f>
        <v>330</v>
      </c>
      <c r="K183" s="193"/>
      <c r="L183" s="194" t="s">
        <v>165</v>
      </c>
      <c r="M183" s="107"/>
    </row>
    <row r="184" spans="1:13" s="109" customFormat="1" ht="38.25" customHeight="1" hidden="1" thickBot="1">
      <c r="A184" s="87" t="s">
        <v>171</v>
      </c>
      <c r="B184" s="402"/>
      <c r="C184" s="403"/>
      <c r="D184" s="4"/>
      <c r="E184" s="26"/>
      <c r="F184" s="24"/>
      <c r="G184" s="26"/>
      <c r="H184" s="26"/>
      <c r="I184" s="26"/>
      <c r="J184" s="26"/>
      <c r="K184" s="35"/>
      <c r="L184" s="6"/>
      <c r="M184" s="220"/>
    </row>
    <row r="185" spans="1:13" s="109" customFormat="1" ht="91.5" customHeight="1" thickBot="1">
      <c r="A185" s="249" t="s">
        <v>276</v>
      </c>
      <c r="B185" s="401" t="s">
        <v>177</v>
      </c>
      <c r="C185" s="401"/>
      <c r="D185" s="181">
        <v>2019</v>
      </c>
      <c r="E185" s="113">
        <f>F185+G185+J185+K185</f>
        <v>80.293</v>
      </c>
      <c r="F185" s="195"/>
      <c r="G185" s="114">
        <f>H185+I185</f>
        <v>0</v>
      </c>
      <c r="H185" s="114">
        <v>0</v>
      </c>
      <c r="I185" s="121">
        <v>0</v>
      </c>
      <c r="J185" s="121">
        <f>19+61.293</f>
        <v>80.293</v>
      </c>
      <c r="K185" s="120">
        <v>0</v>
      </c>
      <c r="L185" s="115" t="s">
        <v>3</v>
      </c>
      <c r="M185" s="116" t="s">
        <v>176</v>
      </c>
    </row>
    <row r="186" spans="1:13" s="109" customFormat="1" ht="352.5" customHeight="1" thickBot="1">
      <c r="A186" s="87" t="s">
        <v>277</v>
      </c>
      <c r="B186" s="401" t="s">
        <v>231</v>
      </c>
      <c r="C186" s="401"/>
      <c r="D186" s="243">
        <v>2019</v>
      </c>
      <c r="E186" s="26">
        <f>F186+G186+J186+K186</f>
        <v>0</v>
      </c>
      <c r="F186" s="24"/>
      <c r="G186" s="26">
        <f>H186+I186</f>
        <v>0</v>
      </c>
      <c r="H186" s="26">
        <v>0</v>
      </c>
      <c r="I186" s="26">
        <v>0</v>
      </c>
      <c r="J186" s="26">
        <v>0</v>
      </c>
      <c r="K186" s="35">
        <v>0</v>
      </c>
      <c r="L186" s="123" t="s">
        <v>172</v>
      </c>
      <c r="M186" s="220" t="s">
        <v>232</v>
      </c>
    </row>
    <row r="187" spans="1:13" s="76" customFormat="1" ht="34.5" customHeight="1">
      <c r="A187" s="404"/>
      <c r="B187" s="406" t="s">
        <v>32</v>
      </c>
      <c r="C187" s="406"/>
      <c r="D187" s="196">
        <v>2017</v>
      </c>
      <c r="E187" s="137">
        <f>F187+G187+J187+K187</f>
        <v>3516.3419999999996</v>
      </c>
      <c r="F187" s="150">
        <v>0</v>
      </c>
      <c r="G187" s="137">
        <f>H187+I187</f>
        <v>205.2</v>
      </c>
      <c r="H187" s="137">
        <f>H175+H97+H91+H84+H71+H65+H56+H50</f>
        <v>0</v>
      </c>
      <c r="I187" s="137">
        <f>I175+I97+I91+I84+I71+I65+I56+I50</f>
        <v>205.2</v>
      </c>
      <c r="J187" s="137">
        <f>J50+J56+J65+J71+J78+J84+J97+J175+J182</f>
        <v>3311.142</v>
      </c>
      <c r="K187" s="120">
        <v>0</v>
      </c>
      <c r="L187" s="217"/>
      <c r="M187" s="408"/>
    </row>
    <row r="188" spans="1:13" s="76" customFormat="1" ht="32.25" customHeight="1">
      <c r="A188" s="405"/>
      <c r="B188" s="407"/>
      <c r="C188" s="407"/>
      <c r="D188" s="43">
        <v>2018</v>
      </c>
      <c r="E188" s="24">
        <f aca="true" t="shared" si="28" ref="E188:J188">E57+E66+E72+E79+E86+E92+E104+E176</f>
        <v>3449.7360099999996</v>
      </c>
      <c r="F188" s="24">
        <f t="shared" si="28"/>
        <v>0</v>
      </c>
      <c r="G188" s="24">
        <f t="shared" si="28"/>
        <v>162.2</v>
      </c>
      <c r="H188" s="24">
        <f t="shared" si="28"/>
        <v>0</v>
      </c>
      <c r="I188" s="24">
        <f t="shared" si="28"/>
        <v>162.2</v>
      </c>
      <c r="J188" s="24">
        <f t="shared" si="28"/>
        <v>3287.53601</v>
      </c>
      <c r="K188" s="35">
        <v>0</v>
      </c>
      <c r="L188" s="218"/>
      <c r="M188" s="408"/>
    </row>
    <row r="189" spans="1:13" s="76" customFormat="1" ht="32.25" customHeight="1">
      <c r="A189" s="405"/>
      <c r="B189" s="407"/>
      <c r="C189" s="407"/>
      <c r="D189" s="43">
        <v>2019</v>
      </c>
      <c r="E189" s="24">
        <f>E53+E58+E62+E74+E80+E87+E93+E112+E144+E177+E183+E184+E185+E64+E181</f>
        <v>1852.0430000000001</v>
      </c>
      <c r="F189" s="24">
        <f>F53+F58+F62+F74+F80+F87+F93+F112+F144+F177+F183+F184+F185+F64+F181</f>
        <v>0</v>
      </c>
      <c r="G189" s="24">
        <f>G53+G58+G62+G74+G80+G87+G93+G112+G144+G177+G183+G184+G185+G64+G181</f>
        <v>531.1</v>
      </c>
      <c r="H189" s="24">
        <f>H53+H58+H62+H74+H80+H87+H93+H112+H144+H177+H183+H184+H185+H64+H181</f>
        <v>0</v>
      </c>
      <c r="I189" s="24">
        <f>I53+I58+I62+I74+I80+I87+I93+I112+I144+I177+I183+I184+I185+I64+I181</f>
        <v>531.1</v>
      </c>
      <c r="J189" s="24">
        <f>J53+J58+J62+J74+J80+J87+J93+J112+J144+J177+J183+J184+J185+J64+J181+J186</f>
        <v>1320.9429999999998</v>
      </c>
      <c r="K189" s="24">
        <f>K53+K58+K62+K74+K80+K87+K93+K112+K144+K177+K183+K184+K185+K64+K181+K186</f>
        <v>0</v>
      </c>
      <c r="L189" s="219"/>
      <c r="M189" s="408"/>
    </row>
    <row r="190" spans="1:13" s="76" customFormat="1" ht="32.25" customHeight="1">
      <c r="A190" s="405"/>
      <c r="B190" s="407"/>
      <c r="C190" s="407"/>
      <c r="D190" s="43">
        <v>2020</v>
      </c>
      <c r="E190" s="24">
        <f aca="true" t="shared" si="29" ref="E190:K190">E54+E59+E63+E75+E81+E88+E94+E120+E151+E178+E41</f>
        <v>1893.6599999999999</v>
      </c>
      <c r="F190" s="24">
        <f t="shared" si="29"/>
        <v>0</v>
      </c>
      <c r="G190" s="24">
        <f t="shared" si="29"/>
        <v>1280.2</v>
      </c>
      <c r="H190" s="24">
        <f t="shared" si="29"/>
        <v>1117</v>
      </c>
      <c r="I190" s="24">
        <f t="shared" si="29"/>
        <v>163.2</v>
      </c>
      <c r="J190" s="24">
        <f t="shared" si="29"/>
        <v>613.4599999999999</v>
      </c>
      <c r="K190" s="24">
        <f t="shared" si="29"/>
        <v>0</v>
      </c>
      <c r="L190" s="218"/>
      <c r="M190" s="408"/>
    </row>
    <row r="191" spans="1:13" s="76" customFormat="1" ht="32.25" customHeight="1">
      <c r="A191" s="405"/>
      <c r="B191" s="407"/>
      <c r="C191" s="407"/>
      <c r="D191" s="41">
        <v>2021</v>
      </c>
      <c r="E191" s="24">
        <f aca="true" t="shared" si="30" ref="E191:K191">E55+E60+E69+E76+E82+E89+E95+E128+E159+E179+E42</f>
        <v>7592.26</v>
      </c>
      <c r="F191" s="24">
        <f t="shared" si="30"/>
        <v>0</v>
      </c>
      <c r="G191" s="24">
        <f t="shared" si="30"/>
        <v>6799.3</v>
      </c>
      <c r="H191" s="24">
        <f t="shared" si="30"/>
        <v>6636.1</v>
      </c>
      <c r="I191" s="24">
        <f t="shared" si="30"/>
        <v>163.2</v>
      </c>
      <c r="J191" s="24">
        <f t="shared" si="30"/>
        <v>792.96</v>
      </c>
      <c r="K191" s="24">
        <f t="shared" si="30"/>
        <v>0</v>
      </c>
      <c r="L191" s="218"/>
      <c r="M191" s="408"/>
    </row>
    <row r="192" spans="1:13" s="76" customFormat="1" ht="29.25" customHeight="1">
      <c r="A192" s="405"/>
      <c r="B192" s="407"/>
      <c r="C192" s="407"/>
      <c r="D192" s="41">
        <v>2022</v>
      </c>
      <c r="E192" s="24">
        <f aca="true" t="shared" si="31" ref="E192:K192">E61+E70+E77+E83+E90+E96+E136+E167+E180+E43</f>
        <v>1857.36</v>
      </c>
      <c r="F192" s="24">
        <f t="shared" si="31"/>
        <v>0</v>
      </c>
      <c r="G192" s="24">
        <f t="shared" si="31"/>
        <v>1113.2</v>
      </c>
      <c r="H192" s="24">
        <f t="shared" si="31"/>
        <v>950</v>
      </c>
      <c r="I192" s="24">
        <f t="shared" si="31"/>
        <v>163.2</v>
      </c>
      <c r="J192" s="24">
        <f t="shared" si="31"/>
        <v>744.16</v>
      </c>
      <c r="K192" s="24">
        <f t="shared" si="31"/>
        <v>0</v>
      </c>
      <c r="L192" s="218"/>
      <c r="M192" s="408"/>
    </row>
    <row r="193" spans="1:13" s="76" customFormat="1" ht="29.25" customHeight="1">
      <c r="A193" s="409" t="s">
        <v>134</v>
      </c>
      <c r="B193" s="410"/>
      <c r="C193" s="410"/>
      <c r="D193" s="410"/>
      <c r="E193" s="410"/>
      <c r="F193" s="410"/>
      <c r="G193" s="410"/>
      <c r="H193" s="410"/>
      <c r="I193" s="410"/>
      <c r="J193" s="410"/>
      <c r="K193" s="410"/>
      <c r="L193" s="410"/>
      <c r="M193" s="411"/>
    </row>
    <row r="194" spans="1:13" s="76" customFormat="1" ht="43.5" customHeight="1">
      <c r="A194" s="412" t="s">
        <v>135</v>
      </c>
      <c r="B194" s="413"/>
      <c r="C194" s="413"/>
      <c r="D194" s="413"/>
      <c r="E194" s="413"/>
      <c r="F194" s="413"/>
      <c r="G194" s="413"/>
      <c r="H194" s="413"/>
      <c r="I194" s="413"/>
      <c r="J194" s="413"/>
      <c r="K194" s="413"/>
      <c r="L194" s="413"/>
      <c r="M194" s="414"/>
    </row>
    <row r="195" spans="1:13" s="76" customFormat="1" ht="106.5" customHeight="1">
      <c r="A195" s="412" t="s">
        <v>159</v>
      </c>
      <c r="B195" s="413"/>
      <c r="C195" s="413"/>
      <c r="D195" s="413"/>
      <c r="E195" s="413"/>
      <c r="F195" s="413"/>
      <c r="G195" s="413"/>
      <c r="H195" s="413"/>
      <c r="I195" s="413"/>
      <c r="J195" s="413"/>
      <c r="K195" s="413"/>
      <c r="L195" s="413"/>
      <c r="M195" s="414"/>
    </row>
    <row r="196" spans="1:13" s="76" customFormat="1" ht="27" customHeight="1">
      <c r="A196" s="412" t="s">
        <v>2</v>
      </c>
      <c r="B196" s="413"/>
      <c r="C196" s="413"/>
      <c r="D196" s="413"/>
      <c r="E196" s="413"/>
      <c r="F196" s="413"/>
      <c r="G196" s="413"/>
      <c r="H196" s="413"/>
      <c r="I196" s="413"/>
      <c r="J196" s="413"/>
      <c r="K196" s="413"/>
      <c r="L196" s="413"/>
      <c r="M196" s="414"/>
    </row>
    <row r="197" spans="1:13" s="76" customFormat="1" ht="37.5" customHeight="1">
      <c r="A197" s="351" t="s">
        <v>104</v>
      </c>
      <c r="B197" s="375" t="s">
        <v>151</v>
      </c>
      <c r="C197" s="8" t="s">
        <v>154</v>
      </c>
      <c r="D197" s="4">
        <v>2017</v>
      </c>
      <c r="E197" s="13">
        <f>F197+G197+J197+K197</f>
        <v>15500.856</v>
      </c>
      <c r="F197" s="12"/>
      <c r="G197" s="13">
        <f>H197+I197</f>
        <v>0</v>
      </c>
      <c r="H197" s="13"/>
      <c r="I197" s="13"/>
      <c r="J197" s="13">
        <f>J246+J247+J248+J249+J250+J252</f>
        <v>15500.856</v>
      </c>
      <c r="K197" s="14">
        <v>0</v>
      </c>
      <c r="L197" s="5" t="s">
        <v>38</v>
      </c>
      <c r="M197" s="350" t="s">
        <v>68</v>
      </c>
    </row>
    <row r="198" spans="1:13" s="76" customFormat="1" ht="37.5" customHeight="1">
      <c r="A198" s="415"/>
      <c r="B198" s="376"/>
      <c r="C198" s="23" t="s">
        <v>136</v>
      </c>
      <c r="D198" s="44"/>
      <c r="E198" s="13">
        <f>F198+G198+J198+K198</f>
        <v>10933.428</v>
      </c>
      <c r="F198" s="12"/>
      <c r="G198" s="13">
        <f>H198+I198</f>
        <v>0</v>
      </c>
      <c r="H198" s="13"/>
      <c r="I198" s="13"/>
      <c r="J198" s="13">
        <f>J251</f>
        <v>10933.428</v>
      </c>
      <c r="K198" s="14">
        <v>0</v>
      </c>
      <c r="L198" s="5" t="s">
        <v>7</v>
      </c>
      <c r="M198" s="350"/>
    </row>
    <row r="199" spans="1:13" s="76" customFormat="1" ht="37.5" customHeight="1">
      <c r="A199" s="415"/>
      <c r="B199" s="376"/>
      <c r="C199" s="8" t="s">
        <v>154</v>
      </c>
      <c r="D199" s="4">
        <v>2018</v>
      </c>
      <c r="E199" s="13">
        <f>F199+G199+J199+K199</f>
        <v>28543.359</v>
      </c>
      <c r="F199" s="13"/>
      <c r="G199" s="13">
        <f>H199+I199</f>
        <v>0</v>
      </c>
      <c r="H199" s="13">
        <v>0</v>
      </c>
      <c r="I199" s="13">
        <v>0</v>
      </c>
      <c r="J199" s="13">
        <f>SUM(J200:J213)</f>
        <v>28543.359</v>
      </c>
      <c r="K199" s="40">
        <v>0</v>
      </c>
      <c r="L199" s="5"/>
      <c r="M199" s="350"/>
    </row>
    <row r="200" spans="1:13" s="76" customFormat="1" ht="24.75" customHeight="1">
      <c r="A200" s="415"/>
      <c r="B200" s="376"/>
      <c r="C200" s="8" t="s">
        <v>44</v>
      </c>
      <c r="D200" s="4"/>
      <c r="E200" s="13"/>
      <c r="F200" s="12"/>
      <c r="G200" s="12">
        <f aca="true" t="shared" si="32" ref="G200:G214">H200+I200</f>
        <v>0</v>
      </c>
      <c r="H200" s="12"/>
      <c r="I200" s="12"/>
      <c r="J200" s="12">
        <f>105.997+1553.242+30.82212-90.152</f>
        <v>1599.90912</v>
      </c>
      <c r="K200" s="14">
        <v>0</v>
      </c>
      <c r="L200" s="417" t="s">
        <v>7</v>
      </c>
      <c r="M200" s="350"/>
    </row>
    <row r="201" spans="1:13" s="76" customFormat="1" ht="24.75" customHeight="1">
      <c r="A201" s="415"/>
      <c r="B201" s="376"/>
      <c r="C201" s="8" t="s">
        <v>112</v>
      </c>
      <c r="D201" s="4"/>
      <c r="E201" s="13"/>
      <c r="F201" s="12"/>
      <c r="G201" s="12">
        <f t="shared" si="32"/>
        <v>0</v>
      </c>
      <c r="H201" s="12"/>
      <c r="I201" s="12"/>
      <c r="J201" s="15">
        <f>2647.00046-137.31778-3.0355</f>
        <v>2506.6471800000004</v>
      </c>
      <c r="K201" s="14">
        <v>0</v>
      </c>
      <c r="L201" s="417"/>
      <c r="M201" s="350"/>
    </row>
    <row r="202" spans="1:13" s="76" customFormat="1" ht="24.75" customHeight="1">
      <c r="A202" s="415"/>
      <c r="B202" s="376"/>
      <c r="C202" s="8" t="s">
        <v>114</v>
      </c>
      <c r="D202" s="4"/>
      <c r="E202" s="13"/>
      <c r="F202" s="12"/>
      <c r="G202" s="12">
        <f t="shared" si="32"/>
        <v>0</v>
      </c>
      <c r="H202" s="12"/>
      <c r="I202" s="12"/>
      <c r="J202" s="12">
        <f>19000-4993.27603+73.22078+64.097-230.15863</f>
        <v>13913.883119999999</v>
      </c>
      <c r="K202" s="14">
        <v>0</v>
      </c>
      <c r="L202" s="417"/>
      <c r="M202" s="350"/>
    </row>
    <row r="203" spans="1:13" s="76" customFormat="1" ht="24.75" customHeight="1">
      <c r="A203" s="415"/>
      <c r="B203" s="376"/>
      <c r="C203" s="8" t="s">
        <v>45</v>
      </c>
      <c r="D203" s="4"/>
      <c r="E203" s="13"/>
      <c r="F203" s="12"/>
      <c r="G203" s="12">
        <f t="shared" si="32"/>
        <v>0</v>
      </c>
      <c r="H203" s="12"/>
      <c r="I203" s="12"/>
      <c r="J203" s="12">
        <f>620.082-142.882</f>
        <v>477.2</v>
      </c>
      <c r="K203" s="14">
        <v>0</v>
      </c>
      <c r="L203" s="417"/>
      <c r="M203" s="350"/>
    </row>
    <row r="204" spans="1:13" s="76" customFormat="1" ht="24.75" customHeight="1">
      <c r="A204" s="415"/>
      <c r="B204" s="376"/>
      <c r="C204" s="8" t="s">
        <v>46</v>
      </c>
      <c r="D204" s="4"/>
      <c r="E204" s="13"/>
      <c r="F204" s="12"/>
      <c r="G204" s="12">
        <f t="shared" si="32"/>
        <v>0</v>
      </c>
      <c r="H204" s="12"/>
      <c r="I204" s="12"/>
      <c r="J204" s="12">
        <f>4446.112-526.952+1537.10326-314.81263</f>
        <v>5141.450629999999</v>
      </c>
      <c r="K204" s="14">
        <v>0</v>
      </c>
      <c r="L204" s="417"/>
      <c r="M204" s="350"/>
    </row>
    <row r="205" spans="1:13" s="76" customFormat="1" ht="24.75" customHeight="1">
      <c r="A205" s="415"/>
      <c r="B205" s="376"/>
      <c r="C205" s="8" t="s">
        <v>47</v>
      </c>
      <c r="D205" s="4"/>
      <c r="E205" s="13"/>
      <c r="F205" s="12"/>
      <c r="G205" s="12">
        <f t="shared" si="32"/>
        <v>0</v>
      </c>
      <c r="H205" s="12"/>
      <c r="I205" s="12"/>
      <c r="J205" s="12">
        <f>115.226+847.899+0.168</f>
        <v>963.293</v>
      </c>
      <c r="K205" s="14">
        <v>0</v>
      </c>
      <c r="L205" s="417"/>
      <c r="M205" s="350"/>
    </row>
    <row r="206" spans="1:13" s="76" customFormat="1" ht="24.75" customHeight="1">
      <c r="A206" s="415"/>
      <c r="B206" s="376"/>
      <c r="C206" s="8" t="s">
        <v>44</v>
      </c>
      <c r="D206" s="4"/>
      <c r="E206" s="13"/>
      <c r="F206" s="12"/>
      <c r="G206" s="12">
        <f t="shared" si="32"/>
        <v>0</v>
      </c>
      <c r="H206" s="12"/>
      <c r="I206" s="12"/>
      <c r="J206" s="12">
        <f>357.7+36.69771</f>
        <v>394.39770999999996</v>
      </c>
      <c r="K206" s="14">
        <v>0</v>
      </c>
      <c r="L206" s="6" t="s">
        <v>44</v>
      </c>
      <c r="M206" s="350"/>
    </row>
    <row r="207" spans="1:13" s="76" customFormat="1" ht="24.75" customHeight="1">
      <c r="A207" s="415"/>
      <c r="B207" s="376"/>
      <c r="C207" s="8" t="s">
        <v>112</v>
      </c>
      <c r="D207" s="4"/>
      <c r="E207" s="13"/>
      <c r="F207" s="12"/>
      <c r="G207" s="12">
        <f t="shared" si="32"/>
        <v>0</v>
      </c>
      <c r="H207" s="12"/>
      <c r="I207" s="12"/>
      <c r="J207" s="12">
        <f>105.779+362.898-106.319</f>
        <v>362.358</v>
      </c>
      <c r="K207" s="14">
        <v>0</v>
      </c>
      <c r="L207" s="6" t="s">
        <v>112</v>
      </c>
      <c r="M207" s="350"/>
    </row>
    <row r="208" spans="1:13" s="76" customFormat="1" ht="24.75" customHeight="1">
      <c r="A208" s="415"/>
      <c r="B208" s="376"/>
      <c r="C208" s="8" t="s">
        <v>45</v>
      </c>
      <c r="D208" s="4"/>
      <c r="E208" s="13"/>
      <c r="F208" s="12"/>
      <c r="G208" s="12">
        <f t="shared" si="32"/>
        <v>0</v>
      </c>
      <c r="H208" s="12"/>
      <c r="I208" s="12"/>
      <c r="J208" s="12">
        <v>0</v>
      </c>
      <c r="K208" s="14">
        <v>0</v>
      </c>
      <c r="L208" s="5"/>
      <c r="M208" s="350"/>
    </row>
    <row r="209" spans="1:13" s="76" customFormat="1" ht="24.75" customHeight="1">
      <c r="A209" s="415"/>
      <c r="B209" s="376"/>
      <c r="C209" s="8" t="s">
        <v>46</v>
      </c>
      <c r="D209" s="4"/>
      <c r="E209" s="13"/>
      <c r="F209" s="12"/>
      <c r="G209" s="12">
        <f t="shared" si="32"/>
        <v>0</v>
      </c>
      <c r="H209" s="12"/>
      <c r="I209" s="12"/>
      <c r="J209" s="12">
        <f>196.448+30+275.818-26.184</f>
        <v>476.08199999999994</v>
      </c>
      <c r="K209" s="14">
        <v>0</v>
      </c>
      <c r="L209" s="5" t="s">
        <v>49</v>
      </c>
      <c r="M209" s="350"/>
    </row>
    <row r="210" spans="1:13" s="76" customFormat="1" ht="24.75" customHeight="1">
      <c r="A210" s="415"/>
      <c r="B210" s="376"/>
      <c r="C210" s="8" t="s">
        <v>47</v>
      </c>
      <c r="D210" s="4"/>
      <c r="E210" s="13"/>
      <c r="F210" s="12"/>
      <c r="G210" s="12">
        <f t="shared" si="32"/>
        <v>0</v>
      </c>
      <c r="H210" s="12"/>
      <c r="I210" s="12"/>
      <c r="J210" s="12">
        <f>624.103+100+900+26.6</f>
        <v>1650.703</v>
      </c>
      <c r="K210" s="14">
        <v>0</v>
      </c>
      <c r="L210" s="5" t="s">
        <v>50</v>
      </c>
      <c r="M210" s="350"/>
    </row>
    <row r="211" spans="1:13" s="76" customFormat="1" ht="24.75" customHeight="1">
      <c r="A211" s="415"/>
      <c r="B211" s="376"/>
      <c r="C211" s="8"/>
      <c r="D211" s="4"/>
      <c r="E211" s="13"/>
      <c r="F211" s="12"/>
      <c r="G211" s="12">
        <f>H211+I211</f>
        <v>0</v>
      </c>
      <c r="H211" s="12"/>
      <c r="I211" s="12"/>
      <c r="J211" s="12">
        <v>0</v>
      </c>
      <c r="K211" s="14">
        <v>0</v>
      </c>
      <c r="L211" s="5" t="s">
        <v>51</v>
      </c>
      <c r="M211" s="350"/>
    </row>
    <row r="212" spans="1:13" s="76" customFormat="1" ht="24.75" customHeight="1">
      <c r="A212" s="415"/>
      <c r="B212" s="376"/>
      <c r="C212" s="8" t="s">
        <v>48</v>
      </c>
      <c r="D212" s="4"/>
      <c r="E212" s="13"/>
      <c r="F212" s="12"/>
      <c r="G212" s="12">
        <f t="shared" si="32"/>
        <v>0</v>
      </c>
      <c r="H212" s="12"/>
      <c r="I212" s="12"/>
      <c r="J212" s="12">
        <f>491.117-443.682+838.97984-0.0006</f>
        <v>886.41424</v>
      </c>
      <c r="K212" s="14">
        <v>0</v>
      </c>
      <c r="L212" s="5" t="s">
        <v>51</v>
      </c>
      <c r="M212" s="350"/>
    </row>
    <row r="213" spans="1:13" s="76" customFormat="1" ht="24.75" customHeight="1">
      <c r="A213" s="415"/>
      <c r="B213" s="376"/>
      <c r="C213" s="8" t="s">
        <v>48</v>
      </c>
      <c r="D213" s="4"/>
      <c r="E213" s="13"/>
      <c r="F213" s="12"/>
      <c r="G213" s="12">
        <f t="shared" si="32"/>
        <v>0</v>
      </c>
      <c r="H213" s="12"/>
      <c r="I213" s="12"/>
      <c r="J213" s="51">
        <f>147.021+24</f>
        <v>171.021</v>
      </c>
      <c r="K213" s="14">
        <v>0</v>
      </c>
      <c r="L213" s="5" t="s">
        <v>116</v>
      </c>
      <c r="M213" s="350"/>
    </row>
    <row r="214" spans="1:13" s="76" customFormat="1" ht="24.75" customHeight="1" thickBot="1">
      <c r="A214" s="415"/>
      <c r="B214" s="376"/>
      <c r="C214" s="126"/>
      <c r="D214" s="128"/>
      <c r="E214" s="145"/>
      <c r="F214" s="146"/>
      <c r="G214" s="146">
        <f t="shared" si="32"/>
        <v>0</v>
      </c>
      <c r="H214" s="146"/>
      <c r="I214" s="146"/>
      <c r="J214" s="147">
        <v>0</v>
      </c>
      <c r="K214" s="148">
        <v>0</v>
      </c>
      <c r="L214" s="5"/>
      <c r="M214" s="350"/>
    </row>
    <row r="215" spans="1:13" s="76" customFormat="1" ht="24.75" customHeight="1" thickBot="1">
      <c r="A215" s="415"/>
      <c r="B215" s="381"/>
      <c r="C215" s="152"/>
      <c r="D215" s="153">
        <v>2019</v>
      </c>
      <c r="E215" s="154">
        <f>F215+G215+J215+K215</f>
        <v>25876.25605</v>
      </c>
      <c r="F215" s="154">
        <f aca="true" t="shared" si="33" ref="F215:K215">SUM(F216:F229)</f>
        <v>0</v>
      </c>
      <c r="G215" s="154">
        <f t="shared" si="33"/>
        <v>0</v>
      </c>
      <c r="H215" s="154">
        <f t="shared" si="33"/>
        <v>0</v>
      </c>
      <c r="I215" s="154">
        <f t="shared" si="33"/>
        <v>0</v>
      </c>
      <c r="J215" s="154">
        <f t="shared" si="33"/>
        <v>25876.25605</v>
      </c>
      <c r="K215" s="155">
        <f t="shared" si="33"/>
        <v>0</v>
      </c>
      <c r="L215" s="144" t="s">
        <v>7</v>
      </c>
      <c r="M215" s="350"/>
    </row>
    <row r="216" spans="1:13" s="76" customFormat="1" ht="24.75" customHeight="1">
      <c r="A216" s="415"/>
      <c r="B216" s="376"/>
      <c r="C216" s="127" t="s">
        <v>131</v>
      </c>
      <c r="D216" s="129"/>
      <c r="E216" s="149">
        <f aca="true" t="shared" si="34" ref="E216:E242">F216+G216+J216+K216</f>
        <v>1159.92432</v>
      </c>
      <c r="F216" s="149"/>
      <c r="G216" s="149">
        <f aca="true" t="shared" si="35" ref="G216:G242">H216+I216</f>
        <v>0</v>
      </c>
      <c r="H216" s="149"/>
      <c r="I216" s="150"/>
      <c r="J216" s="149">
        <f>1350-190.07568</f>
        <v>1159.92432</v>
      </c>
      <c r="K216" s="151">
        <v>0</v>
      </c>
      <c r="L216" s="70" t="s">
        <v>7</v>
      </c>
      <c r="M216" s="350"/>
    </row>
    <row r="217" spans="1:13" s="76" customFormat="1" ht="24.75" customHeight="1">
      <c r="A217" s="415"/>
      <c r="B217" s="376"/>
      <c r="C217" s="8" t="s">
        <v>132</v>
      </c>
      <c r="D217" s="4"/>
      <c r="E217" s="12">
        <f t="shared" si="34"/>
        <v>17673.222</v>
      </c>
      <c r="F217" s="12"/>
      <c r="G217" s="12">
        <f t="shared" si="35"/>
        <v>0</v>
      </c>
      <c r="H217" s="12"/>
      <c r="I217" s="13"/>
      <c r="J217" s="12">
        <f>17794.4248-121.2028</f>
        <v>17673.222</v>
      </c>
      <c r="K217" s="14"/>
      <c r="L217" s="70" t="s">
        <v>7</v>
      </c>
      <c r="M217" s="350"/>
    </row>
    <row r="218" spans="1:13" s="76" customFormat="1" ht="24.75" customHeight="1">
      <c r="A218" s="415"/>
      <c r="B218" s="376"/>
      <c r="C218" s="8" t="s">
        <v>133</v>
      </c>
      <c r="D218" s="4"/>
      <c r="E218" s="12">
        <f t="shared" si="34"/>
        <v>0</v>
      </c>
      <c r="F218" s="12"/>
      <c r="G218" s="12">
        <f t="shared" si="35"/>
        <v>0</v>
      </c>
      <c r="H218" s="12"/>
      <c r="I218" s="13"/>
      <c r="J218" s="12">
        <f>500-159.431-340.569</f>
        <v>0</v>
      </c>
      <c r="K218" s="14"/>
      <c r="L218" s="70" t="s">
        <v>7</v>
      </c>
      <c r="M218" s="350"/>
    </row>
    <row r="219" spans="1:13" s="76" customFormat="1" ht="24.75" customHeight="1">
      <c r="A219" s="415"/>
      <c r="B219" s="376"/>
      <c r="C219" s="8" t="s">
        <v>111</v>
      </c>
      <c r="D219" s="4"/>
      <c r="E219" s="12">
        <f t="shared" si="34"/>
        <v>2109.1145</v>
      </c>
      <c r="F219" s="12"/>
      <c r="G219" s="12">
        <f t="shared" si="35"/>
        <v>0</v>
      </c>
      <c r="H219" s="12"/>
      <c r="I219" s="12">
        <v>0</v>
      </c>
      <c r="J219" s="12">
        <f>1797.73863+313.37887-2.003</f>
        <v>2109.1145</v>
      </c>
      <c r="K219" s="14"/>
      <c r="L219" s="70" t="s">
        <v>7</v>
      </c>
      <c r="M219" s="350"/>
    </row>
    <row r="220" spans="1:13" s="76" customFormat="1" ht="24.75" customHeight="1">
      <c r="A220" s="415"/>
      <c r="B220" s="376"/>
      <c r="C220" s="8" t="s">
        <v>111</v>
      </c>
      <c r="D220" s="4"/>
      <c r="E220" s="12">
        <f t="shared" si="34"/>
        <v>0</v>
      </c>
      <c r="F220" s="12"/>
      <c r="G220" s="12">
        <f t="shared" si="35"/>
        <v>0</v>
      </c>
      <c r="H220" s="12"/>
      <c r="I220" s="12"/>
      <c r="J220" s="12">
        <v>0</v>
      </c>
      <c r="K220" s="14"/>
      <c r="L220" s="70" t="s">
        <v>224</v>
      </c>
      <c r="M220" s="350"/>
    </row>
    <row r="221" spans="1:13" s="76" customFormat="1" ht="24.75" customHeight="1">
      <c r="A221" s="415"/>
      <c r="B221" s="376"/>
      <c r="C221" s="8" t="s">
        <v>50</v>
      </c>
      <c r="D221" s="4"/>
      <c r="E221" s="12">
        <f t="shared" si="34"/>
        <v>1830.5851200000002</v>
      </c>
      <c r="F221" s="12"/>
      <c r="G221" s="12">
        <f t="shared" si="35"/>
        <v>0</v>
      </c>
      <c r="H221" s="12"/>
      <c r="I221" s="13"/>
      <c r="J221" s="12">
        <f>1841.35064-10.76552</f>
        <v>1830.5851200000002</v>
      </c>
      <c r="K221" s="14"/>
      <c r="L221" s="70" t="s">
        <v>7</v>
      </c>
      <c r="M221" s="350"/>
    </row>
    <row r="222" spans="1:13" s="76" customFormat="1" ht="24.75" customHeight="1">
      <c r="A222" s="415"/>
      <c r="B222" s="376"/>
      <c r="C222" s="8" t="s">
        <v>225</v>
      </c>
      <c r="D222" s="4"/>
      <c r="E222" s="12">
        <f t="shared" si="34"/>
        <v>0</v>
      </c>
      <c r="F222" s="12"/>
      <c r="G222" s="12">
        <f t="shared" si="35"/>
        <v>0</v>
      </c>
      <c r="H222" s="12"/>
      <c r="I222" s="13"/>
      <c r="J222" s="12">
        <v>0</v>
      </c>
      <c r="K222" s="14"/>
      <c r="L222" s="70" t="s">
        <v>7</v>
      </c>
      <c r="M222" s="350"/>
    </row>
    <row r="223" spans="1:13" s="76" customFormat="1" ht="24.75" customHeight="1">
      <c r="A223" s="415"/>
      <c r="B223" s="376"/>
      <c r="C223" s="8" t="s">
        <v>131</v>
      </c>
      <c r="D223" s="4"/>
      <c r="E223" s="12">
        <f t="shared" si="34"/>
        <v>200</v>
      </c>
      <c r="F223" s="12"/>
      <c r="G223" s="12">
        <f t="shared" si="35"/>
        <v>0</v>
      </c>
      <c r="H223" s="12"/>
      <c r="I223" s="13"/>
      <c r="J223" s="12">
        <v>200</v>
      </c>
      <c r="K223" s="14"/>
      <c r="L223" s="70" t="s">
        <v>131</v>
      </c>
      <c r="M223" s="350"/>
    </row>
    <row r="224" spans="1:13" s="76" customFormat="1" ht="24.75" customHeight="1">
      <c r="A224" s="415"/>
      <c r="B224" s="376"/>
      <c r="C224" s="8" t="s">
        <v>132</v>
      </c>
      <c r="D224" s="4"/>
      <c r="E224" s="12">
        <f>F224+G224+J224+K224</f>
        <v>262.6042</v>
      </c>
      <c r="F224" s="12"/>
      <c r="G224" s="12">
        <f>H224+I224</f>
        <v>0</v>
      </c>
      <c r="H224" s="12"/>
      <c r="I224" s="13"/>
      <c r="J224" s="12">
        <f>340.773-78.1688</f>
        <v>262.6042</v>
      </c>
      <c r="K224" s="14"/>
      <c r="L224" s="70" t="s">
        <v>132</v>
      </c>
      <c r="M224" s="350"/>
    </row>
    <row r="225" spans="1:13" s="76" customFormat="1" ht="24.75" customHeight="1">
      <c r="A225" s="415"/>
      <c r="B225" s="376"/>
      <c r="C225" s="8" t="s">
        <v>133</v>
      </c>
      <c r="D225" s="4"/>
      <c r="E225" s="12">
        <f t="shared" si="34"/>
        <v>277.714</v>
      </c>
      <c r="F225" s="12"/>
      <c r="G225" s="12">
        <f t="shared" si="35"/>
        <v>0</v>
      </c>
      <c r="H225" s="12"/>
      <c r="I225" s="13"/>
      <c r="J225" s="12">
        <f>159.431+118.283</f>
        <v>277.714</v>
      </c>
      <c r="K225" s="14"/>
      <c r="L225" s="70" t="s">
        <v>133</v>
      </c>
      <c r="M225" s="350"/>
    </row>
    <row r="226" spans="1:13" s="76" customFormat="1" ht="24.75" customHeight="1">
      <c r="A226" s="415"/>
      <c r="B226" s="376"/>
      <c r="C226" s="8" t="s">
        <v>111</v>
      </c>
      <c r="D226" s="4"/>
      <c r="E226" s="12">
        <f t="shared" si="34"/>
        <v>1940.84825</v>
      </c>
      <c r="F226" s="12"/>
      <c r="G226" s="12">
        <f t="shared" si="35"/>
        <v>0</v>
      </c>
      <c r="H226" s="12"/>
      <c r="I226" s="13"/>
      <c r="J226" s="12">
        <f>2430.61771-489.76946</f>
        <v>1940.84825</v>
      </c>
      <c r="K226" s="14"/>
      <c r="L226" s="70" t="s">
        <v>156</v>
      </c>
      <c r="M226" s="350"/>
    </row>
    <row r="227" spans="1:13" s="76" customFormat="1" ht="24.75" customHeight="1">
      <c r="A227" s="415"/>
      <c r="B227" s="376"/>
      <c r="C227" s="8" t="s">
        <v>50</v>
      </c>
      <c r="D227" s="4"/>
      <c r="E227" s="12">
        <f t="shared" si="34"/>
        <v>422.24366</v>
      </c>
      <c r="F227" s="12"/>
      <c r="G227" s="12">
        <f t="shared" si="35"/>
        <v>0</v>
      </c>
      <c r="H227" s="12"/>
      <c r="I227" s="13"/>
      <c r="J227" s="12">
        <f>301.36966+120.874</f>
        <v>422.24366</v>
      </c>
      <c r="K227" s="14"/>
      <c r="L227" s="70" t="s">
        <v>155</v>
      </c>
      <c r="M227" s="350"/>
    </row>
    <row r="228" spans="1:13" s="76" customFormat="1" ht="24.75" customHeight="1">
      <c r="A228" s="415"/>
      <c r="B228" s="376"/>
      <c r="C228" s="8"/>
      <c r="D228" s="4"/>
      <c r="E228" s="12">
        <f t="shared" si="34"/>
        <v>0</v>
      </c>
      <c r="F228" s="12"/>
      <c r="G228" s="12">
        <f t="shared" si="35"/>
        <v>0</v>
      </c>
      <c r="H228" s="12"/>
      <c r="I228" s="13"/>
      <c r="J228" s="12">
        <v>0</v>
      </c>
      <c r="K228" s="14"/>
      <c r="L228" s="70"/>
      <c r="M228" s="350"/>
    </row>
    <row r="229" spans="1:13" s="76" customFormat="1" ht="24.75" customHeight="1" thickBot="1">
      <c r="A229" s="415"/>
      <c r="B229" s="377"/>
      <c r="C229" s="8"/>
      <c r="D229" s="128"/>
      <c r="E229" s="146">
        <f t="shared" si="34"/>
        <v>0</v>
      </c>
      <c r="F229" s="146"/>
      <c r="G229" s="146">
        <f t="shared" si="35"/>
        <v>0</v>
      </c>
      <c r="H229" s="146"/>
      <c r="I229" s="145"/>
      <c r="J229" s="146">
        <v>0</v>
      </c>
      <c r="K229" s="148"/>
      <c r="L229" s="70"/>
      <c r="M229" s="350"/>
    </row>
    <row r="230" spans="1:13" s="76" customFormat="1" ht="30" customHeight="1" thickBot="1">
      <c r="A230" s="415"/>
      <c r="B230" s="288" t="s">
        <v>151</v>
      </c>
      <c r="C230" s="156"/>
      <c r="D230" s="158">
        <v>2020</v>
      </c>
      <c r="E230" s="154">
        <f aca="true" t="shared" si="36" ref="E230:K230">SUM(E231:E236)</f>
        <v>22242.267</v>
      </c>
      <c r="F230" s="154">
        <f t="shared" si="36"/>
        <v>0</v>
      </c>
      <c r="G230" s="154">
        <f t="shared" si="36"/>
        <v>0</v>
      </c>
      <c r="H230" s="154">
        <f t="shared" si="36"/>
        <v>0</v>
      </c>
      <c r="I230" s="154">
        <f t="shared" si="36"/>
        <v>0</v>
      </c>
      <c r="J230" s="154">
        <f t="shared" si="36"/>
        <v>22242.267</v>
      </c>
      <c r="K230" s="154">
        <f t="shared" si="36"/>
        <v>0</v>
      </c>
      <c r="L230" s="157"/>
      <c r="M230" s="350"/>
    </row>
    <row r="231" spans="1:13" s="76" customFormat="1" ht="30" customHeight="1">
      <c r="A231" s="415"/>
      <c r="B231" s="289"/>
      <c r="C231" s="8" t="s">
        <v>132</v>
      </c>
      <c r="D231" s="130"/>
      <c r="E231" s="159">
        <f t="shared" si="34"/>
        <v>11000</v>
      </c>
      <c r="F231" s="159"/>
      <c r="G231" s="159">
        <f aca="true" t="shared" si="37" ref="G231:G236">H231+I231</f>
        <v>0</v>
      </c>
      <c r="H231" s="159"/>
      <c r="I231" s="160"/>
      <c r="J231" s="159">
        <v>11000</v>
      </c>
      <c r="K231" s="161"/>
      <c r="L231" s="70" t="s">
        <v>7</v>
      </c>
      <c r="M231" s="350"/>
    </row>
    <row r="232" spans="1:13" s="76" customFormat="1" ht="30" customHeight="1">
      <c r="A232" s="415"/>
      <c r="B232" s="289"/>
      <c r="C232" s="156" t="s">
        <v>111</v>
      </c>
      <c r="D232" s="4"/>
      <c r="E232" s="12">
        <f t="shared" si="34"/>
        <v>7142.742</v>
      </c>
      <c r="F232" s="12"/>
      <c r="G232" s="12">
        <f t="shared" si="37"/>
        <v>0</v>
      </c>
      <c r="H232" s="12"/>
      <c r="I232" s="13"/>
      <c r="J232" s="12">
        <v>7142.742</v>
      </c>
      <c r="K232" s="14"/>
      <c r="L232" s="157" t="s">
        <v>278</v>
      </c>
      <c r="M232" s="350"/>
    </row>
    <row r="233" spans="1:13" s="76" customFormat="1" ht="30" customHeight="1">
      <c r="A233" s="415"/>
      <c r="B233" s="289"/>
      <c r="C233" s="156" t="s">
        <v>48</v>
      </c>
      <c r="D233" s="4"/>
      <c r="E233" s="12">
        <f t="shared" si="34"/>
        <v>2400</v>
      </c>
      <c r="F233" s="12"/>
      <c r="G233" s="12">
        <f t="shared" si="37"/>
        <v>0</v>
      </c>
      <c r="H233" s="12"/>
      <c r="I233" s="13"/>
      <c r="J233" s="12">
        <v>2400</v>
      </c>
      <c r="K233" s="14"/>
      <c r="L233" s="157" t="s">
        <v>278</v>
      </c>
      <c r="M233" s="350"/>
    </row>
    <row r="234" spans="1:13" s="76" customFormat="1" ht="30" customHeight="1">
      <c r="A234" s="415"/>
      <c r="B234" s="289"/>
      <c r="C234" s="156" t="s">
        <v>111</v>
      </c>
      <c r="D234" s="128"/>
      <c r="E234" s="12">
        <f t="shared" si="34"/>
        <v>1699.525</v>
      </c>
      <c r="F234" s="146"/>
      <c r="G234" s="12">
        <f t="shared" si="37"/>
        <v>0</v>
      </c>
      <c r="H234" s="146"/>
      <c r="I234" s="145"/>
      <c r="J234" s="146">
        <v>1699.525</v>
      </c>
      <c r="K234" s="148"/>
      <c r="L234" s="157" t="s">
        <v>111</v>
      </c>
      <c r="M234" s="350"/>
    </row>
    <row r="235" spans="1:13" s="76" customFormat="1" ht="30" customHeight="1">
      <c r="A235" s="415"/>
      <c r="B235" s="289"/>
      <c r="C235" s="156"/>
      <c r="D235" s="128"/>
      <c r="E235" s="12">
        <f t="shared" si="34"/>
        <v>0</v>
      </c>
      <c r="F235" s="146"/>
      <c r="G235" s="12">
        <f t="shared" si="37"/>
        <v>0</v>
      </c>
      <c r="H235" s="146"/>
      <c r="I235" s="145"/>
      <c r="J235" s="146"/>
      <c r="K235" s="148"/>
      <c r="L235" s="157"/>
      <c r="M235" s="350"/>
    </row>
    <row r="236" spans="1:13" s="76" customFormat="1" ht="30" customHeight="1" thickBot="1">
      <c r="A236" s="415"/>
      <c r="B236" s="290"/>
      <c r="C236" s="156"/>
      <c r="D236" s="270"/>
      <c r="E236" s="12">
        <f t="shared" si="34"/>
        <v>0</v>
      </c>
      <c r="F236" s="208"/>
      <c r="G236" s="12">
        <f t="shared" si="37"/>
        <v>0</v>
      </c>
      <c r="H236" s="208"/>
      <c r="I236" s="271"/>
      <c r="J236" s="208"/>
      <c r="K236" s="209"/>
      <c r="L236" s="157"/>
      <c r="M236" s="350"/>
    </row>
    <row r="237" spans="1:13" s="76" customFormat="1" ht="24.75" customHeight="1" thickBot="1">
      <c r="A237" s="415"/>
      <c r="B237" s="375" t="s">
        <v>151</v>
      </c>
      <c r="C237" s="156"/>
      <c r="D237" s="267">
        <v>2021</v>
      </c>
      <c r="E237" s="268">
        <f aca="true" t="shared" si="38" ref="E237:K237">E238</f>
        <v>22888.568</v>
      </c>
      <c r="F237" s="268">
        <f t="shared" si="38"/>
        <v>0</v>
      </c>
      <c r="G237" s="268">
        <f t="shared" si="38"/>
        <v>0</v>
      </c>
      <c r="H237" s="268">
        <f t="shared" si="38"/>
        <v>0</v>
      </c>
      <c r="I237" s="268">
        <f t="shared" si="38"/>
        <v>0</v>
      </c>
      <c r="J237" s="268">
        <f t="shared" si="38"/>
        <v>22888.568</v>
      </c>
      <c r="K237" s="269">
        <f t="shared" si="38"/>
        <v>0</v>
      </c>
      <c r="L237" s="157"/>
      <c r="M237" s="350"/>
    </row>
    <row r="238" spans="1:13" s="76" customFormat="1" ht="29.25" customHeight="1" thickBot="1">
      <c r="A238" s="415"/>
      <c r="B238" s="377"/>
      <c r="C238" s="8" t="s">
        <v>132</v>
      </c>
      <c r="D238" s="130"/>
      <c r="E238" s="159">
        <f t="shared" si="34"/>
        <v>22888.568</v>
      </c>
      <c r="F238" s="159"/>
      <c r="G238" s="159"/>
      <c r="H238" s="159"/>
      <c r="I238" s="160"/>
      <c r="J238" s="159">
        <v>22888.568</v>
      </c>
      <c r="K238" s="161"/>
      <c r="L238" s="70" t="s">
        <v>7</v>
      </c>
      <c r="M238" s="350"/>
    </row>
    <row r="239" spans="1:13" s="76" customFormat="1" ht="33" customHeight="1" thickBot="1">
      <c r="A239" s="415"/>
      <c r="B239" s="375" t="s">
        <v>151</v>
      </c>
      <c r="C239" s="156"/>
      <c r="D239" s="158">
        <v>2022</v>
      </c>
      <c r="E239" s="154">
        <f aca="true" t="shared" si="39" ref="E239:K239">E240</f>
        <v>20972.961</v>
      </c>
      <c r="F239" s="154">
        <f t="shared" si="39"/>
        <v>0</v>
      </c>
      <c r="G239" s="154">
        <f t="shared" si="39"/>
        <v>0</v>
      </c>
      <c r="H239" s="154">
        <f t="shared" si="39"/>
        <v>0</v>
      </c>
      <c r="I239" s="154">
        <f t="shared" si="39"/>
        <v>0</v>
      </c>
      <c r="J239" s="154">
        <f t="shared" si="39"/>
        <v>20972.961</v>
      </c>
      <c r="K239" s="155">
        <f t="shared" si="39"/>
        <v>0</v>
      </c>
      <c r="L239" s="157"/>
      <c r="M239" s="350"/>
    </row>
    <row r="240" spans="1:13" s="76" customFormat="1" ht="24.75" customHeight="1">
      <c r="A240" s="415"/>
      <c r="B240" s="377"/>
      <c r="C240" s="8" t="s">
        <v>132</v>
      </c>
      <c r="D240" s="129"/>
      <c r="E240" s="149">
        <f t="shared" si="34"/>
        <v>20972.961</v>
      </c>
      <c r="F240" s="149"/>
      <c r="G240" s="149"/>
      <c r="H240" s="149"/>
      <c r="I240" s="150"/>
      <c r="J240" s="149">
        <v>20972.961</v>
      </c>
      <c r="K240" s="151"/>
      <c r="L240" s="70" t="s">
        <v>7</v>
      </c>
      <c r="M240" s="350"/>
    </row>
    <row r="241" spans="1:13" s="76" customFormat="1" ht="24.75" customHeight="1">
      <c r="A241" s="415"/>
      <c r="B241" s="71"/>
      <c r="C241" s="8" t="s">
        <v>116</v>
      </c>
      <c r="D241" s="4">
        <v>2019</v>
      </c>
      <c r="E241" s="12">
        <f t="shared" si="34"/>
        <v>0</v>
      </c>
      <c r="F241" s="12"/>
      <c r="G241" s="12">
        <f t="shared" si="35"/>
        <v>0</v>
      </c>
      <c r="H241" s="12"/>
      <c r="I241" s="12"/>
      <c r="J241" s="13">
        <v>0</v>
      </c>
      <c r="K241" s="14"/>
      <c r="L241" s="75" t="s">
        <v>165</v>
      </c>
      <c r="M241" s="350"/>
    </row>
    <row r="242" spans="1:13" s="76" customFormat="1" ht="24.75" customHeight="1">
      <c r="A242" s="415"/>
      <c r="B242" s="418" t="s">
        <v>151</v>
      </c>
      <c r="C242" s="8"/>
      <c r="D242" s="4"/>
      <c r="E242" s="12">
        <f t="shared" si="34"/>
        <v>0</v>
      </c>
      <c r="F242" s="12"/>
      <c r="G242" s="12">
        <f t="shared" si="35"/>
        <v>0</v>
      </c>
      <c r="H242" s="12"/>
      <c r="I242" s="13"/>
      <c r="J242" s="12">
        <v>0</v>
      </c>
      <c r="K242" s="14"/>
      <c r="L242" s="70"/>
      <c r="M242" s="350"/>
    </row>
    <row r="243" spans="1:13" s="76" customFormat="1" ht="24.75" customHeight="1">
      <c r="A243" s="415"/>
      <c r="B243" s="419"/>
      <c r="C243" s="8" t="s">
        <v>154</v>
      </c>
      <c r="D243" s="4">
        <v>2020</v>
      </c>
      <c r="E243" s="13">
        <f>F243+G243+J243+K243</f>
        <v>0</v>
      </c>
      <c r="F243" s="12"/>
      <c r="G243" s="12">
        <f>H243+I243</f>
        <v>0</v>
      </c>
      <c r="H243" s="12"/>
      <c r="I243" s="13"/>
      <c r="J243" s="13">
        <v>0</v>
      </c>
      <c r="K243" s="14">
        <v>0</v>
      </c>
      <c r="L243" s="5" t="s">
        <v>7</v>
      </c>
      <c r="M243" s="350"/>
    </row>
    <row r="244" spans="1:13" s="76" customFormat="1" ht="24.75" customHeight="1">
      <c r="A244" s="415"/>
      <c r="B244" s="419"/>
      <c r="C244" s="8"/>
      <c r="D244" s="4">
        <v>2021</v>
      </c>
      <c r="E244" s="13">
        <f>F244+G244+J244+K244</f>
        <v>0</v>
      </c>
      <c r="F244" s="12"/>
      <c r="G244" s="12">
        <f>H244+I244</f>
        <v>0</v>
      </c>
      <c r="H244" s="12"/>
      <c r="I244" s="13"/>
      <c r="J244" s="13">
        <v>0</v>
      </c>
      <c r="K244" s="14">
        <v>0</v>
      </c>
      <c r="L244" s="5" t="s">
        <v>7</v>
      </c>
      <c r="M244" s="350"/>
    </row>
    <row r="245" spans="1:13" s="76" customFormat="1" ht="24.75" customHeight="1">
      <c r="A245" s="416"/>
      <c r="B245" s="420"/>
      <c r="C245" s="8"/>
      <c r="D245" s="4">
        <v>2022</v>
      </c>
      <c r="E245" s="13">
        <f aca="true" t="shared" si="40" ref="E245:E260">F245+G245+J245+K245</f>
        <v>0</v>
      </c>
      <c r="F245" s="12"/>
      <c r="G245" s="12">
        <f>H245+I245</f>
        <v>0</v>
      </c>
      <c r="H245" s="12"/>
      <c r="I245" s="13"/>
      <c r="J245" s="13">
        <v>0</v>
      </c>
      <c r="K245" s="14">
        <v>0</v>
      </c>
      <c r="L245" s="5" t="s">
        <v>7</v>
      </c>
      <c r="M245" s="350"/>
    </row>
    <row r="246" spans="1:13" s="76" customFormat="1" ht="24.75" customHeight="1">
      <c r="A246" s="349" t="s">
        <v>87</v>
      </c>
      <c r="B246" s="350" t="s">
        <v>137</v>
      </c>
      <c r="C246" s="8" t="s">
        <v>112</v>
      </c>
      <c r="D246" s="294">
        <v>2017</v>
      </c>
      <c r="E246" s="13">
        <f t="shared" si="40"/>
        <v>6400.301</v>
      </c>
      <c r="F246" s="12"/>
      <c r="G246" s="12">
        <f aca="true" t="shared" si="41" ref="G246:G252">H246+I246</f>
        <v>0</v>
      </c>
      <c r="H246" s="12"/>
      <c r="I246" s="13"/>
      <c r="J246" s="13">
        <v>6400.301</v>
      </c>
      <c r="K246" s="14">
        <v>0</v>
      </c>
      <c r="L246" s="5" t="s">
        <v>7</v>
      </c>
      <c r="M246" s="350"/>
    </row>
    <row r="247" spans="1:13" s="76" customFormat="1" ht="24.75" customHeight="1">
      <c r="A247" s="349"/>
      <c r="B247" s="350"/>
      <c r="C247" s="8" t="s">
        <v>45</v>
      </c>
      <c r="D247" s="294"/>
      <c r="E247" s="13">
        <f t="shared" si="40"/>
        <v>1458.533</v>
      </c>
      <c r="F247" s="12"/>
      <c r="G247" s="12">
        <f t="shared" si="41"/>
        <v>0</v>
      </c>
      <c r="H247" s="12"/>
      <c r="I247" s="13"/>
      <c r="J247" s="13">
        <v>1458.533</v>
      </c>
      <c r="K247" s="14">
        <v>0</v>
      </c>
      <c r="L247" s="5" t="s">
        <v>3</v>
      </c>
      <c r="M247" s="350"/>
    </row>
    <row r="248" spans="1:13" s="76" customFormat="1" ht="24.75" customHeight="1">
      <c r="A248" s="349" t="s">
        <v>88</v>
      </c>
      <c r="B248" s="350" t="s">
        <v>138</v>
      </c>
      <c r="C248" s="8" t="s">
        <v>46</v>
      </c>
      <c r="D248" s="315">
        <v>2017</v>
      </c>
      <c r="E248" s="13">
        <f t="shared" si="40"/>
        <v>2177.928</v>
      </c>
      <c r="F248" s="12"/>
      <c r="G248" s="17">
        <f t="shared" si="41"/>
        <v>0</v>
      </c>
      <c r="H248" s="17"/>
      <c r="I248" s="18"/>
      <c r="J248" s="18">
        <v>2177.928</v>
      </c>
      <c r="K248" s="19">
        <v>0</v>
      </c>
      <c r="L248" s="5" t="s">
        <v>7</v>
      </c>
      <c r="M248" s="350"/>
    </row>
    <row r="249" spans="1:13" s="76" customFormat="1" ht="36" customHeight="1">
      <c r="A249" s="349"/>
      <c r="B249" s="350"/>
      <c r="C249" s="8" t="s">
        <v>47</v>
      </c>
      <c r="D249" s="315"/>
      <c r="E249" s="13">
        <f t="shared" si="40"/>
        <v>431.162</v>
      </c>
      <c r="F249" s="12"/>
      <c r="G249" s="17">
        <f t="shared" si="41"/>
        <v>0</v>
      </c>
      <c r="H249" s="17"/>
      <c r="I249" s="18"/>
      <c r="J249" s="18">
        <v>431.162</v>
      </c>
      <c r="K249" s="19">
        <v>0</v>
      </c>
      <c r="L249" s="5" t="s">
        <v>3</v>
      </c>
      <c r="M249" s="350"/>
    </row>
    <row r="250" spans="1:13" s="76" customFormat="1" ht="24.75" customHeight="1">
      <c r="A250" s="349" t="s">
        <v>150</v>
      </c>
      <c r="B250" s="350" t="s">
        <v>89</v>
      </c>
      <c r="C250" s="8"/>
      <c r="D250" s="315">
        <v>2017</v>
      </c>
      <c r="E250" s="13">
        <f t="shared" si="40"/>
        <v>4135.29</v>
      </c>
      <c r="F250" s="12"/>
      <c r="G250" s="17">
        <f t="shared" si="41"/>
        <v>0</v>
      </c>
      <c r="H250" s="17"/>
      <c r="I250" s="18"/>
      <c r="J250" s="18">
        <v>4135.29</v>
      </c>
      <c r="K250" s="19">
        <v>0</v>
      </c>
      <c r="L250" s="417" t="s">
        <v>7</v>
      </c>
      <c r="M250" s="350"/>
    </row>
    <row r="251" spans="1:13" s="76" customFormat="1" ht="24.75" customHeight="1">
      <c r="A251" s="349"/>
      <c r="B251" s="350"/>
      <c r="C251" s="8" t="s">
        <v>154</v>
      </c>
      <c r="D251" s="315"/>
      <c r="E251" s="13">
        <f t="shared" si="40"/>
        <v>10933.428</v>
      </c>
      <c r="F251" s="12"/>
      <c r="G251" s="17">
        <f t="shared" si="41"/>
        <v>0</v>
      </c>
      <c r="H251" s="17"/>
      <c r="I251" s="18"/>
      <c r="J251" s="18">
        <v>10933.428</v>
      </c>
      <c r="K251" s="19">
        <v>0</v>
      </c>
      <c r="L251" s="417"/>
      <c r="M251" s="350"/>
    </row>
    <row r="252" spans="1:13" s="76" customFormat="1" ht="31.5" customHeight="1" thickBot="1">
      <c r="A252" s="349"/>
      <c r="B252" s="350"/>
      <c r="C252" s="8" t="s">
        <v>154</v>
      </c>
      <c r="D252" s="388"/>
      <c r="E252" s="145">
        <f t="shared" si="40"/>
        <v>897.642</v>
      </c>
      <c r="F252" s="146"/>
      <c r="G252" s="164">
        <f t="shared" si="41"/>
        <v>0</v>
      </c>
      <c r="H252" s="164"/>
      <c r="I252" s="165"/>
      <c r="J252" s="165">
        <v>897.642</v>
      </c>
      <c r="K252" s="166">
        <v>0</v>
      </c>
      <c r="L252" s="5" t="s">
        <v>3</v>
      </c>
      <c r="M252" s="350"/>
    </row>
    <row r="253" spans="1:13" s="76" customFormat="1" ht="24.75" customHeight="1" thickBot="1">
      <c r="A253" s="298" t="s">
        <v>106</v>
      </c>
      <c r="B253" s="288" t="s">
        <v>107</v>
      </c>
      <c r="C253" s="162"/>
      <c r="D253" s="172">
        <v>2018</v>
      </c>
      <c r="E253" s="154">
        <f>F253+J253+K253</f>
        <v>1130.874</v>
      </c>
      <c r="F253" s="173">
        <f aca="true" t="shared" si="42" ref="F253:K253">SUM(F254:F260)</f>
        <v>0</v>
      </c>
      <c r="G253" s="173">
        <f t="shared" si="42"/>
        <v>0</v>
      </c>
      <c r="H253" s="173">
        <f t="shared" si="42"/>
        <v>0</v>
      </c>
      <c r="I253" s="173">
        <f t="shared" si="42"/>
        <v>0</v>
      </c>
      <c r="J253" s="173">
        <f t="shared" si="42"/>
        <v>1130.874</v>
      </c>
      <c r="K253" s="174">
        <f t="shared" si="42"/>
        <v>0</v>
      </c>
      <c r="L253" s="163"/>
      <c r="M253" s="375" t="s">
        <v>113</v>
      </c>
    </row>
    <row r="254" spans="1:13" s="76" customFormat="1" ht="24.75" customHeight="1">
      <c r="A254" s="299"/>
      <c r="B254" s="289"/>
      <c r="C254" s="49"/>
      <c r="D254" s="167"/>
      <c r="E254" s="149">
        <f>F254+G254+J254+K254</f>
        <v>0</v>
      </c>
      <c r="F254" s="168"/>
      <c r="G254" s="169">
        <f aca="true" t="shared" si="43" ref="G254:G260">H254+I254</f>
        <v>0</v>
      </c>
      <c r="H254" s="170"/>
      <c r="I254" s="169">
        <v>0</v>
      </c>
      <c r="J254" s="169">
        <v>0</v>
      </c>
      <c r="K254" s="171"/>
      <c r="L254" s="55"/>
      <c r="M254" s="376"/>
    </row>
    <row r="255" spans="1:13" s="76" customFormat="1" ht="24.75" customHeight="1">
      <c r="A255" s="299"/>
      <c r="B255" s="289"/>
      <c r="C255" s="49" t="s">
        <v>108</v>
      </c>
      <c r="D255" s="7"/>
      <c r="E255" s="12">
        <f t="shared" si="40"/>
        <v>32.401</v>
      </c>
      <c r="F255" s="16"/>
      <c r="G255" s="17">
        <f t="shared" si="43"/>
        <v>0</v>
      </c>
      <c r="H255" s="17"/>
      <c r="I255" s="18"/>
      <c r="J255" s="12">
        <f>24+9.98-1.579</f>
        <v>32.401</v>
      </c>
      <c r="K255" s="19"/>
      <c r="L255" s="5" t="s">
        <v>108</v>
      </c>
      <c r="M255" s="376"/>
    </row>
    <row r="256" spans="1:13" s="76" customFormat="1" ht="24.75" customHeight="1">
      <c r="A256" s="299"/>
      <c r="B256" s="289"/>
      <c r="C256" s="49" t="s">
        <v>109</v>
      </c>
      <c r="D256" s="7"/>
      <c r="E256" s="12">
        <f t="shared" si="40"/>
        <v>202.33000000000004</v>
      </c>
      <c r="F256" s="16"/>
      <c r="G256" s="17">
        <f t="shared" si="43"/>
        <v>0</v>
      </c>
      <c r="H256" s="17"/>
      <c r="I256" s="18"/>
      <c r="J256" s="12">
        <f>304.8-99.63174-2.83826</f>
        <v>202.33000000000004</v>
      </c>
      <c r="K256" s="19"/>
      <c r="L256" s="5" t="s">
        <v>109</v>
      </c>
      <c r="M256" s="376"/>
    </row>
    <row r="257" spans="1:13" s="76" customFormat="1" ht="24.75" customHeight="1">
      <c r="A257" s="299"/>
      <c r="B257" s="289"/>
      <c r="C257" s="49" t="s">
        <v>110</v>
      </c>
      <c r="D257" s="7"/>
      <c r="E257" s="12">
        <f t="shared" si="40"/>
        <v>193.929</v>
      </c>
      <c r="F257" s="16"/>
      <c r="G257" s="17">
        <f t="shared" si="43"/>
        <v>0</v>
      </c>
      <c r="H257" s="17"/>
      <c r="I257" s="18"/>
      <c r="J257" s="17">
        <f>138.5+55.429</f>
        <v>193.929</v>
      </c>
      <c r="K257" s="19"/>
      <c r="L257" s="5" t="s">
        <v>110</v>
      </c>
      <c r="M257" s="376"/>
    </row>
    <row r="258" spans="1:13" s="76" customFormat="1" ht="24.75" customHeight="1">
      <c r="A258" s="299"/>
      <c r="B258" s="289"/>
      <c r="C258" s="49"/>
      <c r="D258" s="7"/>
      <c r="E258" s="12">
        <f>F258+G258+J258+K258</f>
        <v>522.2139999999999</v>
      </c>
      <c r="F258" s="16"/>
      <c r="G258" s="17">
        <f t="shared" si="43"/>
        <v>0</v>
      </c>
      <c r="H258" s="17"/>
      <c r="I258" s="18"/>
      <c r="J258" s="17">
        <f>874-134.152-30-249.634+62</f>
        <v>522.2139999999999</v>
      </c>
      <c r="K258" s="19"/>
      <c r="L258" s="5" t="s">
        <v>111</v>
      </c>
      <c r="M258" s="376"/>
    </row>
    <row r="259" spans="1:13" s="76" customFormat="1" ht="24.75" customHeight="1">
      <c r="A259" s="299"/>
      <c r="B259" s="289"/>
      <c r="C259" s="49"/>
      <c r="D259" s="7"/>
      <c r="E259" s="12">
        <f t="shared" si="40"/>
        <v>40</v>
      </c>
      <c r="F259" s="16"/>
      <c r="G259" s="17">
        <f t="shared" si="43"/>
        <v>0</v>
      </c>
      <c r="H259" s="17"/>
      <c r="I259" s="18"/>
      <c r="J259" s="17">
        <f>100-60</f>
        <v>40</v>
      </c>
      <c r="K259" s="19"/>
      <c r="L259" s="5" t="s">
        <v>50</v>
      </c>
      <c r="M259" s="376"/>
    </row>
    <row r="260" spans="1:13" s="76" customFormat="1" ht="24.75" customHeight="1" thickBot="1">
      <c r="A260" s="299"/>
      <c r="B260" s="289"/>
      <c r="C260" s="272"/>
      <c r="D260" s="56"/>
      <c r="E260" s="146">
        <f t="shared" si="40"/>
        <v>140</v>
      </c>
      <c r="F260" s="175"/>
      <c r="G260" s="164">
        <f t="shared" si="43"/>
        <v>0</v>
      </c>
      <c r="H260" s="164"/>
      <c r="I260" s="165"/>
      <c r="J260" s="164">
        <f>165-25</f>
        <v>140</v>
      </c>
      <c r="K260" s="166"/>
      <c r="L260" s="276" t="s">
        <v>48</v>
      </c>
      <c r="M260" s="377"/>
    </row>
    <row r="261" spans="1:13" s="76" customFormat="1" ht="26.25" customHeight="1" thickBot="1">
      <c r="A261" s="299"/>
      <c r="B261" s="363"/>
      <c r="C261" s="273"/>
      <c r="D261" s="172">
        <v>2019</v>
      </c>
      <c r="E261" s="173">
        <f aca="true" t="shared" si="44" ref="E261:K261">SUM(E262:E263)</f>
        <v>195.01735000000002</v>
      </c>
      <c r="F261" s="173">
        <f t="shared" si="44"/>
        <v>0</v>
      </c>
      <c r="G261" s="173">
        <f t="shared" si="44"/>
        <v>0</v>
      </c>
      <c r="H261" s="173">
        <f t="shared" si="44"/>
        <v>0</v>
      </c>
      <c r="I261" s="173">
        <f t="shared" si="44"/>
        <v>0</v>
      </c>
      <c r="J261" s="173">
        <f t="shared" si="44"/>
        <v>195.01735000000002</v>
      </c>
      <c r="K261" s="174">
        <f t="shared" si="44"/>
        <v>0</v>
      </c>
      <c r="L261" s="277"/>
      <c r="M261" s="386"/>
    </row>
    <row r="262" spans="1:13" s="76" customFormat="1" ht="33" customHeight="1">
      <c r="A262" s="299"/>
      <c r="B262" s="289"/>
      <c r="C262" s="90" t="s">
        <v>110</v>
      </c>
      <c r="D262" s="167">
        <v>2019</v>
      </c>
      <c r="E262" s="169">
        <f>F262+G262+J262</f>
        <v>126.36635000000001</v>
      </c>
      <c r="F262" s="169"/>
      <c r="G262" s="169">
        <f>H262+I262</f>
        <v>0</v>
      </c>
      <c r="H262" s="169"/>
      <c r="I262" s="169"/>
      <c r="J262" s="169">
        <f>400-273.63365</f>
        <v>126.36635000000001</v>
      </c>
      <c r="K262" s="170"/>
      <c r="L262" s="212" t="s">
        <v>110</v>
      </c>
      <c r="M262" s="350"/>
    </row>
    <row r="263" spans="1:13" s="76" customFormat="1" ht="33" customHeight="1" thickBot="1">
      <c r="A263" s="299"/>
      <c r="B263" s="289"/>
      <c r="C263" s="126" t="s">
        <v>46</v>
      </c>
      <c r="D263" s="266">
        <v>2019</v>
      </c>
      <c r="E263" s="164">
        <f>F263+G263+J263</f>
        <v>68.651</v>
      </c>
      <c r="F263" s="164"/>
      <c r="G263" s="164">
        <f>H263+I263</f>
        <v>0</v>
      </c>
      <c r="H263" s="164"/>
      <c r="I263" s="164"/>
      <c r="J263" s="164">
        <v>68.651</v>
      </c>
      <c r="K263" s="165"/>
      <c r="L263" s="276" t="s">
        <v>46</v>
      </c>
      <c r="M263" s="350"/>
    </row>
    <row r="264" spans="1:13" s="76" customFormat="1" ht="24.75" customHeight="1" thickBot="1">
      <c r="A264" s="299"/>
      <c r="B264" s="363"/>
      <c r="C264" s="152"/>
      <c r="D264" s="274">
        <v>2020</v>
      </c>
      <c r="E264" s="154">
        <f>F264+G264+J264+K264</f>
        <v>372.574</v>
      </c>
      <c r="F264" s="154">
        <v>0</v>
      </c>
      <c r="G264" s="154">
        <v>0</v>
      </c>
      <c r="H264" s="154">
        <v>0</v>
      </c>
      <c r="I264" s="154">
        <v>0</v>
      </c>
      <c r="J264" s="154">
        <f>SUM(J265:J269)</f>
        <v>372.574</v>
      </c>
      <c r="K264" s="278">
        <v>0</v>
      </c>
      <c r="L264" s="279"/>
      <c r="M264" s="386"/>
    </row>
    <row r="265" spans="1:13" s="76" customFormat="1" ht="24.75" customHeight="1" thickBot="1">
      <c r="A265" s="299"/>
      <c r="B265" s="289"/>
      <c r="C265" s="127" t="s">
        <v>111</v>
      </c>
      <c r="D265" s="80"/>
      <c r="E265" s="275">
        <f>F265+G265+J265+K265</f>
        <v>67.144</v>
      </c>
      <c r="F265" s="149"/>
      <c r="G265" s="149">
        <f>H265+I265</f>
        <v>0</v>
      </c>
      <c r="H265" s="149"/>
      <c r="I265" s="150"/>
      <c r="J265" s="149">
        <v>67.144</v>
      </c>
      <c r="K265" s="151"/>
      <c r="L265" s="5" t="s">
        <v>7</v>
      </c>
      <c r="M265" s="350"/>
    </row>
    <row r="266" spans="1:13" s="76" customFormat="1" ht="24.75" customHeight="1" thickBot="1">
      <c r="A266" s="299"/>
      <c r="B266" s="289"/>
      <c r="C266" s="127" t="s">
        <v>132</v>
      </c>
      <c r="D266" s="80"/>
      <c r="E266" s="275">
        <f>F266+G266+J266+K266</f>
        <v>250</v>
      </c>
      <c r="F266" s="149"/>
      <c r="G266" s="149">
        <f>H266+I266</f>
        <v>0</v>
      </c>
      <c r="H266" s="149"/>
      <c r="I266" s="150"/>
      <c r="J266" s="149">
        <v>250</v>
      </c>
      <c r="K266" s="151"/>
      <c r="L266" s="123" t="s">
        <v>132</v>
      </c>
      <c r="M266" s="350"/>
    </row>
    <row r="267" spans="1:13" s="76" customFormat="1" ht="24.75" customHeight="1" thickBot="1">
      <c r="A267" s="299"/>
      <c r="B267" s="289"/>
      <c r="C267" s="265" t="s">
        <v>133</v>
      </c>
      <c r="D267" s="56"/>
      <c r="E267" s="280">
        <f>F267+G267+J267+K267</f>
        <v>55.43</v>
      </c>
      <c r="F267" s="146"/>
      <c r="G267" s="159">
        <f>H267+I267</f>
        <v>0</v>
      </c>
      <c r="H267" s="146"/>
      <c r="I267" s="145"/>
      <c r="J267" s="146">
        <v>55.43</v>
      </c>
      <c r="K267" s="148"/>
      <c r="L267" s="264" t="s">
        <v>133</v>
      </c>
      <c r="M267" s="350"/>
    </row>
    <row r="268" spans="1:13" s="76" customFormat="1" ht="24.75" customHeight="1" thickBot="1">
      <c r="A268" s="299"/>
      <c r="B268" s="363"/>
      <c r="C268" s="152"/>
      <c r="D268" s="274">
        <v>2021</v>
      </c>
      <c r="E268" s="275">
        <f>F268+G268+K268</f>
        <v>0</v>
      </c>
      <c r="F268" s="275">
        <v>0</v>
      </c>
      <c r="G268" s="275">
        <f>H268+I268</f>
        <v>0</v>
      </c>
      <c r="H268" s="275">
        <v>0</v>
      </c>
      <c r="I268" s="275">
        <v>0</v>
      </c>
      <c r="J268" s="275">
        <v>0</v>
      </c>
      <c r="K268" s="281">
        <v>0</v>
      </c>
      <c r="L268" s="282"/>
      <c r="M268" s="386"/>
    </row>
    <row r="269" spans="1:13" s="76" customFormat="1" ht="24.75" customHeight="1" thickBot="1">
      <c r="A269" s="300"/>
      <c r="B269" s="355"/>
      <c r="C269" s="152"/>
      <c r="D269" s="274">
        <v>2022</v>
      </c>
      <c r="E269" s="275">
        <f>F269+G269+K269</f>
        <v>0</v>
      </c>
      <c r="F269" s="275">
        <v>0</v>
      </c>
      <c r="G269" s="275">
        <f>H269+I269</f>
        <v>0</v>
      </c>
      <c r="H269" s="275">
        <v>0</v>
      </c>
      <c r="I269" s="275">
        <v>0</v>
      </c>
      <c r="J269" s="275">
        <v>0</v>
      </c>
      <c r="K269" s="281">
        <v>0</v>
      </c>
      <c r="L269" s="282"/>
      <c r="M269" s="386"/>
    </row>
    <row r="270" spans="1:13" s="76" customFormat="1" ht="28.5" customHeight="1" thickBot="1">
      <c r="A270" s="349" t="s">
        <v>120</v>
      </c>
      <c r="B270" s="350" t="s">
        <v>212</v>
      </c>
      <c r="C270" s="283"/>
      <c r="D270" s="284">
        <v>2019</v>
      </c>
      <c r="E270" s="285">
        <f aca="true" t="shared" si="45" ref="E270:K270">E274+E275+E276+E277+E278+E279+E280+E281</f>
        <v>498</v>
      </c>
      <c r="F270" s="285">
        <f t="shared" si="45"/>
        <v>0</v>
      </c>
      <c r="G270" s="285">
        <f t="shared" si="45"/>
        <v>473.00000000000006</v>
      </c>
      <c r="H270" s="285">
        <f t="shared" si="45"/>
        <v>0</v>
      </c>
      <c r="I270" s="285">
        <f t="shared" si="45"/>
        <v>473.00000000000006</v>
      </c>
      <c r="J270" s="285">
        <f t="shared" si="45"/>
        <v>25</v>
      </c>
      <c r="K270" s="286">
        <f t="shared" si="45"/>
        <v>0</v>
      </c>
      <c r="L270" s="287"/>
      <c r="M270" s="23"/>
    </row>
    <row r="271" spans="1:13" s="76" customFormat="1" ht="33" customHeight="1">
      <c r="A271" s="349"/>
      <c r="B271" s="350"/>
      <c r="C271" s="8"/>
      <c r="D271" s="80">
        <v>2020</v>
      </c>
      <c r="E271" s="149">
        <v>0</v>
      </c>
      <c r="F271" s="149">
        <v>0</v>
      </c>
      <c r="G271" s="149">
        <v>0</v>
      </c>
      <c r="H271" s="149">
        <v>0</v>
      </c>
      <c r="I271" s="149">
        <v>0</v>
      </c>
      <c r="J271" s="149">
        <v>0</v>
      </c>
      <c r="K271" s="151">
        <v>0</v>
      </c>
      <c r="L271" s="5"/>
      <c r="M271" s="23"/>
    </row>
    <row r="272" spans="1:13" s="76" customFormat="1" ht="31.5" customHeight="1">
      <c r="A272" s="349"/>
      <c r="B272" s="350"/>
      <c r="C272" s="8"/>
      <c r="D272" s="7">
        <v>2021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4">
        <v>0</v>
      </c>
      <c r="L272" s="5"/>
      <c r="M272" s="23"/>
    </row>
    <row r="273" spans="1:13" s="76" customFormat="1" ht="25.5" customHeight="1">
      <c r="A273" s="349"/>
      <c r="B273" s="350"/>
      <c r="C273" s="8"/>
      <c r="D273" s="7">
        <v>2022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4">
        <v>0</v>
      </c>
      <c r="L273" s="5"/>
      <c r="M273" s="23"/>
    </row>
    <row r="274" spans="1:13" s="76" customFormat="1" ht="43.5" customHeight="1">
      <c r="A274" s="349" t="s">
        <v>119</v>
      </c>
      <c r="B274" s="104" t="s">
        <v>179</v>
      </c>
      <c r="C274" s="6" t="s">
        <v>46</v>
      </c>
      <c r="D274" s="1">
        <v>2019</v>
      </c>
      <c r="E274" s="12">
        <f aca="true" t="shared" si="46" ref="E274:E281">F274+G274+J274+K274</f>
        <v>8.6</v>
      </c>
      <c r="F274" s="12"/>
      <c r="G274" s="12">
        <f>H274+I274</f>
        <v>0</v>
      </c>
      <c r="H274" s="12"/>
      <c r="I274" s="12">
        <v>0</v>
      </c>
      <c r="J274" s="12">
        <v>8.6</v>
      </c>
      <c r="K274" s="14">
        <v>0</v>
      </c>
      <c r="L274" s="5" t="s">
        <v>111</v>
      </c>
      <c r="M274" s="350"/>
    </row>
    <row r="275" spans="1:13" s="76" customFormat="1" ht="54" customHeight="1">
      <c r="A275" s="349"/>
      <c r="B275" s="104" t="s">
        <v>140</v>
      </c>
      <c r="C275" s="6" t="s">
        <v>47</v>
      </c>
      <c r="D275" s="1">
        <v>2019</v>
      </c>
      <c r="E275" s="12">
        <f t="shared" si="46"/>
        <v>15.4</v>
      </c>
      <c r="F275" s="12"/>
      <c r="G275" s="12">
        <f aca="true" t="shared" si="47" ref="G275:G281">H275+I275</f>
        <v>15.4</v>
      </c>
      <c r="H275" s="12"/>
      <c r="I275" s="12">
        <v>15.4</v>
      </c>
      <c r="J275" s="12">
        <v>0</v>
      </c>
      <c r="K275" s="14">
        <v>0</v>
      </c>
      <c r="L275" s="5" t="s">
        <v>50</v>
      </c>
      <c r="M275" s="350"/>
    </row>
    <row r="276" spans="1:13" s="76" customFormat="1" ht="82.5" customHeight="1">
      <c r="A276" s="81" t="s">
        <v>121</v>
      </c>
      <c r="B276" s="23" t="s">
        <v>180</v>
      </c>
      <c r="C276" s="6" t="s">
        <v>46</v>
      </c>
      <c r="D276" s="1">
        <v>2019</v>
      </c>
      <c r="E276" s="12">
        <f t="shared" si="46"/>
        <v>137.612</v>
      </c>
      <c r="F276" s="12"/>
      <c r="G276" s="12">
        <f t="shared" si="47"/>
        <v>137.612</v>
      </c>
      <c r="H276" s="12"/>
      <c r="I276" s="12">
        <v>137.612</v>
      </c>
      <c r="J276" s="12">
        <v>0</v>
      </c>
      <c r="K276" s="14">
        <v>0</v>
      </c>
      <c r="L276" s="5" t="s">
        <v>111</v>
      </c>
      <c r="M276" s="23" t="s">
        <v>126</v>
      </c>
    </row>
    <row r="277" spans="1:13" s="76" customFormat="1" ht="77.25" customHeight="1">
      <c r="A277" s="81" t="s">
        <v>122</v>
      </c>
      <c r="B277" s="23" t="s">
        <v>181</v>
      </c>
      <c r="C277" s="6" t="s">
        <v>46</v>
      </c>
      <c r="D277" s="1">
        <v>2019</v>
      </c>
      <c r="E277" s="12">
        <f t="shared" si="46"/>
        <v>131.693</v>
      </c>
      <c r="F277" s="12"/>
      <c r="G277" s="12">
        <f>H277+I277</f>
        <v>131.693</v>
      </c>
      <c r="H277" s="12"/>
      <c r="I277" s="12">
        <f>120.581+11.112</f>
        <v>131.693</v>
      </c>
      <c r="J277" s="12">
        <v>0</v>
      </c>
      <c r="K277" s="14">
        <v>0</v>
      </c>
      <c r="L277" s="5" t="s">
        <v>111</v>
      </c>
      <c r="M277" s="350" t="s">
        <v>127</v>
      </c>
    </row>
    <row r="278" spans="1:13" s="76" customFormat="1" ht="75" customHeight="1">
      <c r="A278" s="349" t="s">
        <v>123</v>
      </c>
      <c r="B278" s="23" t="s">
        <v>182</v>
      </c>
      <c r="C278" s="6" t="s">
        <v>46</v>
      </c>
      <c r="D278" s="1">
        <v>2019</v>
      </c>
      <c r="E278" s="12">
        <f t="shared" si="46"/>
        <v>44.018</v>
      </c>
      <c r="F278" s="12"/>
      <c r="G278" s="12">
        <f t="shared" si="47"/>
        <v>36.039</v>
      </c>
      <c r="H278" s="12"/>
      <c r="I278" s="12">
        <f>44.018-7.979</f>
        <v>36.039</v>
      </c>
      <c r="J278" s="12">
        <f>16.579-8.6</f>
        <v>7.979000000000001</v>
      </c>
      <c r="K278" s="14">
        <v>0</v>
      </c>
      <c r="L278" s="5" t="s">
        <v>111</v>
      </c>
      <c r="M278" s="350"/>
    </row>
    <row r="279" spans="1:13" s="76" customFormat="1" ht="73.5" customHeight="1">
      <c r="A279" s="349"/>
      <c r="B279" s="23" t="s">
        <v>183</v>
      </c>
      <c r="C279" s="6" t="s">
        <v>46</v>
      </c>
      <c r="D279" s="1">
        <v>2019</v>
      </c>
      <c r="E279" s="12">
        <f t="shared" si="46"/>
        <v>7.656000000000001</v>
      </c>
      <c r="F279" s="12"/>
      <c r="G279" s="12">
        <f t="shared" si="47"/>
        <v>7.656000000000001</v>
      </c>
      <c r="H279" s="12"/>
      <c r="I279" s="12">
        <f>18.768-11.112</f>
        <v>7.656000000000001</v>
      </c>
      <c r="J279" s="12"/>
      <c r="K279" s="14"/>
      <c r="L279" s="5" t="s">
        <v>185</v>
      </c>
      <c r="M279" s="23"/>
    </row>
    <row r="280" spans="1:13" s="76" customFormat="1" ht="90" customHeight="1">
      <c r="A280" s="349"/>
      <c r="B280" s="23" t="s">
        <v>139</v>
      </c>
      <c r="C280" s="6" t="s">
        <v>47</v>
      </c>
      <c r="D280" s="1">
        <v>2019</v>
      </c>
      <c r="E280" s="12">
        <f t="shared" si="46"/>
        <v>10.74</v>
      </c>
      <c r="F280" s="12"/>
      <c r="G280" s="12">
        <f t="shared" si="47"/>
        <v>10.74</v>
      </c>
      <c r="H280" s="12"/>
      <c r="I280" s="12">
        <v>10.74</v>
      </c>
      <c r="J280" s="12">
        <v>0</v>
      </c>
      <c r="K280" s="14">
        <v>0</v>
      </c>
      <c r="L280" s="5" t="s">
        <v>50</v>
      </c>
      <c r="M280" s="23" t="s">
        <v>128</v>
      </c>
    </row>
    <row r="281" spans="1:13" s="76" customFormat="1" ht="55.5" customHeight="1">
      <c r="A281" s="81" t="s">
        <v>124</v>
      </c>
      <c r="B281" s="23" t="s">
        <v>125</v>
      </c>
      <c r="C281" s="6" t="s">
        <v>47</v>
      </c>
      <c r="D281" s="1">
        <v>2019</v>
      </c>
      <c r="E281" s="12">
        <f t="shared" si="46"/>
        <v>142.281</v>
      </c>
      <c r="F281" s="12"/>
      <c r="G281" s="12">
        <f t="shared" si="47"/>
        <v>133.86</v>
      </c>
      <c r="H281" s="12"/>
      <c r="I281" s="12">
        <v>133.86</v>
      </c>
      <c r="J281" s="12">
        <v>8.421</v>
      </c>
      <c r="K281" s="14">
        <v>0</v>
      </c>
      <c r="L281" s="5" t="s">
        <v>50</v>
      </c>
      <c r="M281" s="23" t="s">
        <v>129</v>
      </c>
    </row>
    <row r="282" spans="1:13" s="88" customFormat="1" ht="89.25" customHeight="1">
      <c r="A282" s="91" t="s">
        <v>166</v>
      </c>
      <c r="B282" s="421" t="s">
        <v>163</v>
      </c>
      <c r="C282" s="422"/>
      <c r="D282" s="4">
        <v>2019</v>
      </c>
      <c r="E282" s="13">
        <f aca="true" t="shared" si="48" ref="E282:K282">E283+E284</f>
        <v>1013.9999999999999</v>
      </c>
      <c r="F282" s="13">
        <f t="shared" si="48"/>
        <v>0</v>
      </c>
      <c r="G282" s="13">
        <f t="shared" si="48"/>
        <v>963</v>
      </c>
      <c r="H282" s="13">
        <f t="shared" si="48"/>
        <v>0</v>
      </c>
      <c r="I282" s="13">
        <f t="shared" si="48"/>
        <v>963</v>
      </c>
      <c r="J282" s="13">
        <f t="shared" si="48"/>
        <v>51</v>
      </c>
      <c r="K282" s="13">
        <f t="shared" si="48"/>
        <v>0</v>
      </c>
      <c r="L282" s="55"/>
      <c r="M282" s="100"/>
    </row>
    <row r="283" spans="1:13" s="76" customFormat="1" ht="71.25" customHeight="1">
      <c r="A283" s="81" t="s">
        <v>167</v>
      </c>
      <c r="B283" s="362" t="s">
        <v>163</v>
      </c>
      <c r="C283" s="362"/>
      <c r="D283" s="101">
        <v>2019</v>
      </c>
      <c r="E283" s="26">
        <f>F283+G283+J283+K283</f>
        <v>800.0321799999999</v>
      </c>
      <c r="F283" s="92"/>
      <c r="G283" s="26">
        <f>H283+I283</f>
        <v>760.03</v>
      </c>
      <c r="H283" s="93"/>
      <c r="I283" s="221">
        <f>765.502-5.472</f>
        <v>760.03</v>
      </c>
      <c r="J283" s="222">
        <f>40.2898-0.28762</f>
        <v>40.00218</v>
      </c>
      <c r="K283" s="94"/>
      <c r="L283" s="95" t="s">
        <v>51</v>
      </c>
      <c r="M283" s="423" t="s">
        <v>164</v>
      </c>
    </row>
    <row r="284" spans="1:13" s="76" customFormat="1" ht="74.25" customHeight="1">
      <c r="A284" s="102" t="s">
        <v>168</v>
      </c>
      <c r="B284" s="353" t="s">
        <v>163</v>
      </c>
      <c r="C284" s="354"/>
      <c r="D284" s="101">
        <v>2019</v>
      </c>
      <c r="E284" s="72">
        <f>F284+G284+J284+K284</f>
        <v>213.96782</v>
      </c>
      <c r="F284" s="96"/>
      <c r="G284" s="72">
        <f>H284+I284</f>
        <v>202.97</v>
      </c>
      <c r="H284" s="97"/>
      <c r="I284" s="223">
        <f>197.498+5.472</f>
        <v>202.97</v>
      </c>
      <c r="J284" s="224">
        <f>10.7102+0.28762</f>
        <v>10.99782</v>
      </c>
      <c r="K284" s="98"/>
      <c r="L284" s="99" t="s">
        <v>175</v>
      </c>
      <c r="M284" s="418"/>
    </row>
    <row r="285" spans="1:13" s="76" customFormat="1" ht="24.75" customHeight="1">
      <c r="A285" s="424" t="s">
        <v>169</v>
      </c>
      <c r="B285" s="426" t="s">
        <v>219</v>
      </c>
      <c r="C285" s="427"/>
      <c r="D285" s="128">
        <v>2020</v>
      </c>
      <c r="E285" s="200">
        <f aca="true" t="shared" si="49" ref="E285:K285">E288+E289+E290+++++E292+E298+E299+E300+E301</f>
        <v>0</v>
      </c>
      <c r="F285" s="200">
        <f t="shared" si="49"/>
        <v>0</v>
      </c>
      <c r="G285" s="200">
        <f t="shared" si="49"/>
        <v>0</v>
      </c>
      <c r="H285" s="200">
        <f t="shared" si="49"/>
        <v>0</v>
      </c>
      <c r="I285" s="200">
        <f t="shared" si="49"/>
        <v>0</v>
      </c>
      <c r="J285" s="200">
        <f t="shared" si="49"/>
        <v>0</v>
      </c>
      <c r="K285" s="200">
        <f t="shared" si="49"/>
        <v>0</v>
      </c>
      <c r="L285" s="99"/>
      <c r="M285" s="126">
        <v>1377</v>
      </c>
    </row>
    <row r="286" spans="1:13" s="76" customFormat="1" ht="24.75" customHeight="1">
      <c r="A286" s="425"/>
      <c r="B286" s="428"/>
      <c r="C286" s="429"/>
      <c r="D286" s="128">
        <v>2021</v>
      </c>
      <c r="E286" s="200">
        <f aca="true" t="shared" si="50" ref="E286:K286">E291+E293+E294+E295+E296+E297</f>
        <v>0</v>
      </c>
      <c r="F286" s="200">
        <f t="shared" si="50"/>
        <v>0</v>
      </c>
      <c r="G286" s="200">
        <f t="shared" si="50"/>
        <v>0</v>
      </c>
      <c r="H286" s="200">
        <f t="shared" si="50"/>
        <v>0</v>
      </c>
      <c r="I286" s="200">
        <f t="shared" si="50"/>
        <v>0</v>
      </c>
      <c r="J286" s="200">
        <f t="shared" si="50"/>
        <v>0</v>
      </c>
      <c r="K286" s="200">
        <f t="shared" si="50"/>
        <v>0</v>
      </c>
      <c r="L286" s="99"/>
      <c r="M286" s="126">
        <v>1630</v>
      </c>
    </row>
    <row r="287" spans="1:13" s="76" customFormat="1" ht="24.75" customHeight="1" thickBot="1">
      <c r="A287" s="425"/>
      <c r="B287" s="428"/>
      <c r="C287" s="429"/>
      <c r="D287" s="128">
        <v>2022</v>
      </c>
      <c r="E287" s="200">
        <v>0</v>
      </c>
      <c r="F287" s="200">
        <v>0</v>
      </c>
      <c r="G287" s="200">
        <v>0</v>
      </c>
      <c r="H287" s="200">
        <v>0</v>
      </c>
      <c r="I287" s="200">
        <v>0</v>
      </c>
      <c r="J287" s="200">
        <v>0</v>
      </c>
      <c r="K287" s="200">
        <v>0</v>
      </c>
      <c r="L287" s="99"/>
      <c r="M287" s="126"/>
    </row>
    <row r="288" spans="1:14" s="76" customFormat="1" ht="24.75" customHeight="1">
      <c r="A288" s="430" t="s">
        <v>213</v>
      </c>
      <c r="B288" s="325" t="s">
        <v>186</v>
      </c>
      <c r="C288" s="184" t="s">
        <v>187</v>
      </c>
      <c r="D288" s="202">
        <v>2020</v>
      </c>
      <c r="E288" s="203"/>
      <c r="F288" s="203"/>
      <c r="G288" s="203"/>
      <c r="H288" s="203"/>
      <c r="I288" s="203"/>
      <c r="J288" s="203">
        <v>0</v>
      </c>
      <c r="K288" s="204"/>
      <c r="L288" s="205" t="s">
        <v>187</v>
      </c>
      <c r="M288" s="63"/>
      <c r="N288" s="63" t="s">
        <v>188</v>
      </c>
    </row>
    <row r="289" spans="1:14" s="76" customFormat="1" ht="24.75" customHeight="1">
      <c r="A289" s="431"/>
      <c r="B289" s="289"/>
      <c r="C289" s="6" t="s">
        <v>189</v>
      </c>
      <c r="D289" s="1">
        <v>2020</v>
      </c>
      <c r="E289" s="12"/>
      <c r="F289" s="12"/>
      <c r="G289" s="12"/>
      <c r="H289" s="12"/>
      <c r="I289" s="12"/>
      <c r="J289" s="12">
        <v>0</v>
      </c>
      <c r="K289" s="14"/>
      <c r="L289" s="5" t="s">
        <v>189</v>
      </c>
      <c r="M289" s="64"/>
      <c r="N289" s="64" t="s">
        <v>191</v>
      </c>
    </row>
    <row r="290" spans="1:14" s="76" customFormat="1" ht="24.75" customHeight="1">
      <c r="A290" s="431"/>
      <c r="B290" s="289"/>
      <c r="C290" s="6" t="s">
        <v>190</v>
      </c>
      <c r="D290" s="1">
        <v>2020</v>
      </c>
      <c r="E290" s="12"/>
      <c r="F290" s="12"/>
      <c r="G290" s="12"/>
      <c r="H290" s="12"/>
      <c r="I290" s="12"/>
      <c r="J290" s="12">
        <v>0</v>
      </c>
      <c r="K290" s="14"/>
      <c r="L290" s="5" t="s">
        <v>190</v>
      </c>
      <c r="M290" s="64"/>
      <c r="N290" s="64" t="s">
        <v>192</v>
      </c>
    </row>
    <row r="291" spans="1:14" s="76" customFormat="1" ht="24.75" customHeight="1" thickBot="1">
      <c r="A291" s="432"/>
      <c r="B291" s="433"/>
      <c r="C291" s="206" t="s">
        <v>200</v>
      </c>
      <c r="D291" s="207">
        <v>2021</v>
      </c>
      <c r="E291" s="208"/>
      <c r="F291" s="208"/>
      <c r="G291" s="208"/>
      <c r="H291" s="208"/>
      <c r="I291" s="208"/>
      <c r="J291" s="208">
        <v>0</v>
      </c>
      <c r="K291" s="209"/>
      <c r="L291" s="210" t="s">
        <v>200</v>
      </c>
      <c r="M291" s="68"/>
      <c r="N291" s="68" t="s">
        <v>209</v>
      </c>
    </row>
    <row r="292" spans="1:14" s="76" customFormat="1" ht="24.75" customHeight="1">
      <c r="A292" s="434" t="s">
        <v>214</v>
      </c>
      <c r="B292" s="325" t="s">
        <v>193</v>
      </c>
      <c r="C292" s="184" t="s">
        <v>190</v>
      </c>
      <c r="D292" s="202">
        <v>2020</v>
      </c>
      <c r="E292" s="203"/>
      <c r="F292" s="203"/>
      <c r="G292" s="203"/>
      <c r="H292" s="203"/>
      <c r="I292" s="203"/>
      <c r="J292" s="203">
        <v>0</v>
      </c>
      <c r="K292" s="204"/>
      <c r="L292" s="205" t="s">
        <v>190</v>
      </c>
      <c r="M292" s="63"/>
      <c r="N292" s="63" t="s">
        <v>195</v>
      </c>
    </row>
    <row r="293" spans="1:14" s="76" customFormat="1" ht="24.75" customHeight="1">
      <c r="A293" s="435"/>
      <c r="B293" s="289"/>
      <c r="C293" s="6" t="s">
        <v>206</v>
      </c>
      <c r="D293" s="1">
        <v>2021</v>
      </c>
      <c r="E293" s="12"/>
      <c r="F293" s="12"/>
      <c r="G293" s="12"/>
      <c r="H293" s="12"/>
      <c r="I293" s="12"/>
      <c r="J293" s="12">
        <v>0</v>
      </c>
      <c r="K293" s="14"/>
      <c r="L293" s="5" t="s">
        <v>206</v>
      </c>
      <c r="M293" s="64"/>
      <c r="N293" s="64" t="s">
        <v>207</v>
      </c>
    </row>
    <row r="294" spans="1:14" s="76" customFormat="1" ht="24.75" customHeight="1">
      <c r="A294" s="435"/>
      <c r="B294" s="289"/>
      <c r="C294" s="6" t="s">
        <v>48</v>
      </c>
      <c r="D294" s="1">
        <v>2021</v>
      </c>
      <c r="E294" s="12"/>
      <c r="F294" s="12"/>
      <c r="G294" s="12"/>
      <c r="H294" s="12"/>
      <c r="I294" s="12"/>
      <c r="J294" s="12">
        <v>0</v>
      </c>
      <c r="K294" s="14"/>
      <c r="L294" s="5" t="s">
        <v>208</v>
      </c>
      <c r="M294" s="64"/>
      <c r="N294" s="64" t="s">
        <v>210</v>
      </c>
    </row>
    <row r="295" spans="1:14" s="76" customFormat="1" ht="24.75" customHeight="1">
      <c r="A295" s="435"/>
      <c r="B295" s="289"/>
      <c r="C295" s="6" t="s">
        <v>156</v>
      </c>
      <c r="D295" s="1">
        <v>2021</v>
      </c>
      <c r="E295" s="12"/>
      <c r="F295" s="12"/>
      <c r="G295" s="12"/>
      <c r="H295" s="12"/>
      <c r="I295" s="12"/>
      <c r="J295" s="12">
        <v>0</v>
      </c>
      <c r="K295" s="14"/>
      <c r="L295" s="5" t="s">
        <v>156</v>
      </c>
      <c r="M295" s="64"/>
      <c r="N295" s="64" t="s">
        <v>194</v>
      </c>
    </row>
    <row r="296" spans="1:14" s="76" customFormat="1" ht="24.75" customHeight="1">
      <c r="A296" s="435"/>
      <c r="B296" s="289"/>
      <c r="C296" s="6" t="s">
        <v>155</v>
      </c>
      <c r="D296" s="1">
        <v>2021</v>
      </c>
      <c r="E296" s="12"/>
      <c r="F296" s="12"/>
      <c r="G296" s="12"/>
      <c r="H296" s="12"/>
      <c r="I296" s="12"/>
      <c r="J296" s="12">
        <v>0</v>
      </c>
      <c r="K296" s="14"/>
      <c r="L296" s="5" t="s">
        <v>155</v>
      </c>
      <c r="M296" s="64"/>
      <c r="N296" s="64" t="s">
        <v>204</v>
      </c>
    </row>
    <row r="297" spans="1:14" s="76" customFormat="1" ht="24.75" customHeight="1" thickBot="1">
      <c r="A297" s="436"/>
      <c r="B297" s="433"/>
      <c r="C297" s="206" t="s">
        <v>200</v>
      </c>
      <c r="D297" s="207">
        <v>2021</v>
      </c>
      <c r="E297" s="208"/>
      <c r="F297" s="208"/>
      <c r="G297" s="208"/>
      <c r="H297" s="208"/>
      <c r="I297" s="208"/>
      <c r="J297" s="208">
        <v>0</v>
      </c>
      <c r="K297" s="209"/>
      <c r="L297" s="210" t="s">
        <v>200</v>
      </c>
      <c r="M297" s="68"/>
      <c r="N297" s="68" t="s">
        <v>211</v>
      </c>
    </row>
    <row r="298" spans="1:14" s="76" customFormat="1" ht="39.75" customHeight="1">
      <c r="A298" s="201" t="s">
        <v>215</v>
      </c>
      <c r="B298" s="187" t="s">
        <v>205</v>
      </c>
      <c r="C298" s="123" t="s">
        <v>155</v>
      </c>
      <c r="D298" s="211">
        <v>2020</v>
      </c>
      <c r="E298" s="149"/>
      <c r="F298" s="149"/>
      <c r="G298" s="149"/>
      <c r="H298" s="149"/>
      <c r="I298" s="149"/>
      <c r="J298" s="149">
        <v>0</v>
      </c>
      <c r="K298" s="151"/>
      <c r="L298" s="212" t="s">
        <v>155</v>
      </c>
      <c r="M298" s="79"/>
      <c r="N298" s="79" t="s">
        <v>196</v>
      </c>
    </row>
    <row r="299" spans="1:14" s="76" customFormat="1" ht="36" customHeight="1">
      <c r="A299" s="102" t="s">
        <v>216</v>
      </c>
      <c r="B299" s="188" t="s">
        <v>197</v>
      </c>
      <c r="C299" s="6" t="s">
        <v>155</v>
      </c>
      <c r="D299" s="1">
        <v>2020</v>
      </c>
      <c r="E299" s="12"/>
      <c r="F299" s="12"/>
      <c r="G299" s="12"/>
      <c r="H299" s="12"/>
      <c r="I299" s="12"/>
      <c r="J299" s="12">
        <v>0</v>
      </c>
      <c r="K299" s="14"/>
      <c r="L299" s="5" t="s">
        <v>155</v>
      </c>
      <c r="M299" s="23"/>
      <c r="N299" s="23" t="s">
        <v>198</v>
      </c>
    </row>
    <row r="300" spans="1:14" s="76" customFormat="1" ht="37.5" customHeight="1">
      <c r="A300" s="213" t="s">
        <v>217</v>
      </c>
      <c r="B300" s="188" t="s">
        <v>199</v>
      </c>
      <c r="C300" s="6" t="s">
        <v>200</v>
      </c>
      <c r="D300" s="1">
        <v>2020</v>
      </c>
      <c r="E300" s="12"/>
      <c r="F300" s="12"/>
      <c r="G300" s="12"/>
      <c r="H300" s="12"/>
      <c r="I300" s="12"/>
      <c r="J300" s="12">
        <v>0</v>
      </c>
      <c r="K300" s="14"/>
      <c r="L300" s="5" t="s">
        <v>200</v>
      </c>
      <c r="M300" s="23"/>
      <c r="N300" s="23" t="s">
        <v>201</v>
      </c>
    </row>
    <row r="301" spans="1:14" s="76" customFormat="1" ht="41.25" customHeight="1">
      <c r="A301" s="213" t="s">
        <v>218</v>
      </c>
      <c r="B301" s="188" t="s">
        <v>202</v>
      </c>
      <c r="C301" s="6" t="s">
        <v>200</v>
      </c>
      <c r="D301" s="1">
        <v>2020</v>
      </c>
      <c r="E301" s="12"/>
      <c r="F301" s="12"/>
      <c r="G301" s="12"/>
      <c r="H301" s="12"/>
      <c r="I301" s="12"/>
      <c r="J301" s="12">
        <v>0</v>
      </c>
      <c r="K301" s="14"/>
      <c r="L301" s="5" t="s">
        <v>200</v>
      </c>
      <c r="M301" s="23"/>
      <c r="N301" s="23" t="s">
        <v>203</v>
      </c>
    </row>
    <row r="302" spans="1:13" s="88" customFormat="1" ht="24.75" customHeight="1">
      <c r="A302" s="103"/>
      <c r="B302" s="437"/>
      <c r="C302" s="437"/>
      <c r="D302" s="4"/>
      <c r="E302" s="24"/>
      <c r="F302" s="24"/>
      <c r="G302" s="24"/>
      <c r="H302" s="24"/>
      <c r="I302" s="24"/>
      <c r="J302" s="24"/>
      <c r="K302" s="111"/>
      <c r="L302" s="112"/>
      <c r="M302" s="104"/>
    </row>
    <row r="303" spans="1:13" s="88" customFormat="1" ht="24.75" customHeight="1">
      <c r="A303" s="103"/>
      <c r="B303" s="117"/>
      <c r="C303" s="118"/>
      <c r="D303" s="4"/>
      <c r="E303" s="24"/>
      <c r="F303" s="24"/>
      <c r="G303" s="24"/>
      <c r="H303" s="24"/>
      <c r="I303" s="24"/>
      <c r="J303" s="24"/>
      <c r="K303" s="111"/>
      <c r="L303" s="112"/>
      <c r="M303" s="104"/>
    </row>
    <row r="304" spans="1:13" s="76" customFormat="1" ht="24.75" customHeight="1">
      <c r="A304" s="405"/>
      <c r="B304" s="438" t="s">
        <v>40</v>
      </c>
      <c r="C304" s="439"/>
      <c r="D304" s="7">
        <v>2017</v>
      </c>
      <c r="E304" s="45">
        <f>F304+G304+J304+K304</f>
        <v>26434.284</v>
      </c>
      <c r="F304" s="177">
        <f>G304+H304</f>
        <v>0</v>
      </c>
      <c r="G304" s="177">
        <f>H304+I304</f>
        <v>0</v>
      </c>
      <c r="H304" s="178">
        <f>H197+H198</f>
        <v>0</v>
      </c>
      <c r="I304" s="178">
        <f>I197+I198</f>
        <v>0</v>
      </c>
      <c r="J304" s="45">
        <f>J197+J198</f>
        <v>26434.284</v>
      </c>
      <c r="K304" s="45">
        <v>0</v>
      </c>
      <c r="L304" s="5"/>
      <c r="M304" s="23"/>
    </row>
    <row r="305" spans="1:13" s="76" customFormat="1" ht="24.75" customHeight="1">
      <c r="A305" s="405"/>
      <c r="B305" s="440"/>
      <c r="C305" s="441"/>
      <c r="D305" s="7">
        <v>2018</v>
      </c>
      <c r="E305" s="45">
        <f>F305+G305+J305+K305</f>
        <v>29674.233</v>
      </c>
      <c r="F305" s="177">
        <f>G305+H305</f>
        <v>0</v>
      </c>
      <c r="G305" s="177">
        <f>H305+I305</f>
        <v>0</v>
      </c>
      <c r="H305" s="178">
        <f>H199</f>
        <v>0</v>
      </c>
      <c r="I305" s="178">
        <f>I199</f>
        <v>0</v>
      </c>
      <c r="J305" s="45">
        <f>J199+J253</f>
        <v>29674.233</v>
      </c>
      <c r="K305" s="178">
        <v>0</v>
      </c>
      <c r="L305" s="5"/>
      <c r="M305" s="23"/>
    </row>
    <row r="306" spans="1:13" s="76" customFormat="1" ht="24.75" customHeight="1">
      <c r="A306" s="405"/>
      <c r="B306" s="440"/>
      <c r="C306" s="441"/>
      <c r="D306" s="7">
        <v>2019</v>
      </c>
      <c r="E306" s="45">
        <f aca="true" t="shared" si="51" ref="E306:K306">E215+E261+E270+E241+E282</f>
        <v>27583.2734</v>
      </c>
      <c r="F306" s="45">
        <f t="shared" si="51"/>
        <v>0</v>
      </c>
      <c r="G306" s="45">
        <f t="shared" si="51"/>
        <v>1436</v>
      </c>
      <c r="H306" s="45">
        <f t="shared" si="51"/>
        <v>0</v>
      </c>
      <c r="I306" s="45">
        <f t="shared" si="51"/>
        <v>1436</v>
      </c>
      <c r="J306" s="45">
        <f>J215+J261+J270+J241+J282</f>
        <v>26147.2734</v>
      </c>
      <c r="K306" s="45">
        <f t="shared" si="51"/>
        <v>0</v>
      </c>
      <c r="L306" s="5"/>
      <c r="M306" s="23"/>
    </row>
    <row r="307" spans="1:13" s="76" customFormat="1" ht="24.75" customHeight="1">
      <c r="A307" s="405"/>
      <c r="B307" s="440"/>
      <c r="C307" s="441"/>
      <c r="D307" s="7">
        <v>2020</v>
      </c>
      <c r="E307" s="45">
        <f aca="true" t="shared" si="52" ref="E307:K307">E230+E243+E264+E271+E285</f>
        <v>22614.841</v>
      </c>
      <c r="F307" s="45">
        <f t="shared" si="52"/>
        <v>0</v>
      </c>
      <c r="G307" s="45">
        <f t="shared" si="52"/>
        <v>0</v>
      </c>
      <c r="H307" s="45">
        <f t="shared" si="52"/>
        <v>0</v>
      </c>
      <c r="I307" s="45">
        <f t="shared" si="52"/>
        <v>0</v>
      </c>
      <c r="J307" s="45">
        <f t="shared" si="52"/>
        <v>22614.841</v>
      </c>
      <c r="K307" s="45">
        <f t="shared" si="52"/>
        <v>0</v>
      </c>
      <c r="L307" s="5"/>
      <c r="M307" s="23"/>
    </row>
    <row r="308" spans="1:13" s="76" customFormat="1" ht="24.75" customHeight="1">
      <c r="A308" s="405"/>
      <c r="B308" s="440"/>
      <c r="C308" s="441"/>
      <c r="D308" s="7">
        <v>2021</v>
      </c>
      <c r="E308" s="45">
        <f aca="true" t="shared" si="53" ref="E308:K308">E237+E244+E268+E272+E286</f>
        <v>22888.568</v>
      </c>
      <c r="F308" s="45">
        <f t="shared" si="53"/>
        <v>0</v>
      </c>
      <c r="G308" s="45">
        <f t="shared" si="53"/>
        <v>0</v>
      </c>
      <c r="H308" s="45">
        <f t="shared" si="53"/>
        <v>0</v>
      </c>
      <c r="I308" s="45">
        <f t="shared" si="53"/>
        <v>0</v>
      </c>
      <c r="J308" s="45">
        <f t="shared" si="53"/>
        <v>22888.568</v>
      </c>
      <c r="K308" s="45">
        <f t="shared" si="53"/>
        <v>0</v>
      </c>
      <c r="L308" s="5"/>
      <c r="M308" s="23"/>
    </row>
    <row r="309" spans="1:13" s="76" customFormat="1" ht="24.75" customHeight="1">
      <c r="A309" s="405"/>
      <c r="B309" s="442"/>
      <c r="C309" s="443"/>
      <c r="D309" s="7">
        <v>2022</v>
      </c>
      <c r="E309" s="45">
        <f aca="true" t="shared" si="54" ref="E309:K309">E239+E269+E273+E287</f>
        <v>20972.961</v>
      </c>
      <c r="F309" s="45">
        <f t="shared" si="54"/>
        <v>0</v>
      </c>
      <c r="G309" s="45">
        <f t="shared" si="54"/>
        <v>0</v>
      </c>
      <c r="H309" s="45">
        <f t="shared" si="54"/>
        <v>0</v>
      </c>
      <c r="I309" s="45">
        <f t="shared" si="54"/>
        <v>0</v>
      </c>
      <c r="J309" s="45">
        <f t="shared" si="54"/>
        <v>20972.961</v>
      </c>
      <c r="K309" s="45">
        <f t="shared" si="54"/>
        <v>0</v>
      </c>
      <c r="L309" s="5"/>
      <c r="M309" s="23"/>
    </row>
    <row r="310" spans="1:13" s="76" customFormat="1" ht="27" customHeight="1">
      <c r="A310" s="444" t="s">
        <v>105</v>
      </c>
      <c r="B310" s="410"/>
      <c r="C310" s="410"/>
      <c r="D310" s="410"/>
      <c r="E310" s="410"/>
      <c r="F310" s="410"/>
      <c r="G310" s="410"/>
      <c r="H310" s="410"/>
      <c r="I310" s="410"/>
      <c r="J310" s="410"/>
      <c r="K310" s="410"/>
      <c r="L310" s="410"/>
      <c r="M310" s="411"/>
    </row>
    <row r="311" spans="1:13" s="76" customFormat="1" ht="29.25" customHeight="1">
      <c r="A311" s="445" t="s">
        <v>60</v>
      </c>
      <c r="B311" s="446"/>
      <c r="C311" s="446"/>
      <c r="D311" s="446"/>
      <c r="E311" s="446"/>
      <c r="F311" s="446"/>
      <c r="G311" s="446"/>
      <c r="H311" s="446"/>
      <c r="I311" s="446"/>
      <c r="J311" s="446"/>
      <c r="K311" s="446"/>
      <c r="L311" s="447"/>
      <c r="M311" s="448"/>
    </row>
    <row r="312" spans="1:13" s="76" customFormat="1" ht="27" customHeight="1">
      <c r="A312" s="445" t="s">
        <v>141</v>
      </c>
      <c r="B312" s="446"/>
      <c r="C312" s="446"/>
      <c r="D312" s="446"/>
      <c r="E312" s="446"/>
      <c r="F312" s="446"/>
      <c r="G312" s="446"/>
      <c r="H312" s="446"/>
      <c r="I312" s="446"/>
      <c r="J312" s="446"/>
      <c r="K312" s="449"/>
      <c r="L312" s="8"/>
      <c r="M312" s="23"/>
    </row>
    <row r="313" spans="1:13" s="76" customFormat="1" ht="49.5" customHeight="1">
      <c r="A313" s="349" t="s">
        <v>90</v>
      </c>
      <c r="B313" s="450" t="s">
        <v>142</v>
      </c>
      <c r="C313" s="451"/>
      <c r="D313" s="4">
        <v>2017</v>
      </c>
      <c r="E313" s="46">
        <f aca="true" t="shared" si="55" ref="E313:E322">F313+G313+J313+K313</f>
        <v>200580.416</v>
      </c>
      <c r="F313" s="46">
        <f>F314+F315+F316+F318+F319+F320+F321</f>
        <v>124615.2</v>
      </c>
      <c r="G313" s="24">
        <f>H313+I313</f>
        <v>727</v>
      </c>
      <c r="H313" s="24">
        <f>H314+H315+H316+H318+H319+H320+H321</f>
        <v>0</v>
      </c>
      <c r="I313" s="24">
        <f>I314+I315+I316+I318+I319+I320+I321</f>
        <v>727</v>
      </c>
      <c r="J313" s="24">
        <f>J314+J315+J316+J318+J319+J320+J321</f>
        <v>75238.216</v>
      </c>
      <c r="K313" s="24">
        <f>K314+K315+K316+K318+K319+K320+K321</f>
        <v>0</v>
      </c>
      <c r="L313" s="8"/>
      <c r="M313" s="350" t="s">
        <v>69</v>
      </c>
    </row>
    <row r="314" spans="1:13" s="76" customFormat="1" ht="27" customHeight="1">
      <c r="A314" s="349"/>
      <c r="B314" s="452"/>
      <c r="C314" s="453"/>
      <c r="D314" s="52"/>
      <c r="E314" s="46">
        <f t="shared" si="55"/>
        <v>64776.86</v>
      </c>
      <c r="F314" s="21">
        <v>54731.8</v>
      </c>
      <c r="G314" s="26">
        <f>H314+I314</f>
        <v>0</v>
      </c>
      <c r="H314" s="21"/>
      <c r="I314" s="21"/>
      <c r="J314" s="21">
        <v>10045.06</v>
      </c>
      <c r="K314" s="22">
        <v>0</v>
      </c>
      <c r="L314" s="3" t="s">
        <v>10</v>
      </c>
      <c r="M314" s="350"/>
    </row>
    <row r="315" spans="1:13" s="76" customFormat="1" ht="27" customHeight="1">
      <c r="A315" s="349"/>
      <c r="B315" s="452"/>
      <c r="C315" s="453"/>
      <c r="D315" s="7"/>
      <c r="E315" s="46">
        <f t="shared" si="55"/>
        <v>20018.813</v>
      </c>
      <c r="F315" s="21"/>
      <c r="G315" s="26">
        <f aca="true" t="shared" si="56" ref="G315:G321">H315+I315</f>
        <v>0</v>
      </c>
      <c r="H315" s="21"/>
      <c r="I315" s="21"/>
      <c r="J315" s="21">
        <v>20018.813</v>
      </c>
      <c r="K315" s="22">
        <v>0</v>
      </c>
      <c r="L315" s="3" t="s">
        <v>33</v>
      </c>
      <c r="M315" s="350"/>
    </row>
    <row r="316" spans="1:13" s="76" customFormat="1" ht="27" customHeight="1">
      <c r="A316" s="349"/>
      <c r="B316" s="452"/>
      <c r="C316" s="453"/>
      <c r="D316" s="7"/>
      <c r="E316" s="46">
        <f t="shared" si="55"/>
        <v>13226.366</v>
      </c>
      <c r="F316" s="21"/>
      <c r="G316" s="26">
        <f t="shared" si="56"/>
        <v>0</v>
      </c>
      <c r="H316" s="21"/>
      <c r="I316" s="21"/>
      <c r="J316" s="21">
        <v>13226.366</v>
      </c>
      <c r="K316" s="22">
        <v>0</v>
      </c>
      <c r="L316" s="3" t="s">
        <v>34</v>
      </c>
      <c r="M316" s="350"/>
    </row>
    <row r="317" spans="1:13" s="76" customFormat="1" ht="27" customHeight="1">
      <c r="A317" s="349"/>
      <c r="B317" s="452"/>
      <c r="C317" s="453"/>
      <c r="D317" s="7"/>
      <c r="E317" s="46"/>
      <c r="F317" s="21"/>
      <c r="G317" s="26"/>
      <c r="H317" s="21"/>
      <c r="I317" s="21"/>
      <c r="J317" s="21"/>
      <c r="K317" s="22"/>
      <c r="L317" s="3"/>
      <c r="M317" s="350"/>
    </row>
    <row r="318" spans="1:13" s="76" customFormat="1" ht="27" customHeight="1">
      <c r="A318" s="349"/>
      <c r="B318" s="452"/>
      <c r="C318" s="453"/>
      <c r="D318" s="7"/>
      <c r="E318" s="46">
        <f t="shared" si="55"/>
        <v>77631.458</v>
      </c>
      <c r="F318" s="21">
        <v>69883.4</v>
      </c>
      <c r="G318" s="26">
        <f t="shared" si="56"/>
        <v>0</v>
      </c>
      <c r="H318" s="21"/>
      <c r="I318" s="21"/>
      <c r="J318" s="21">
        <v>7748.058</v>
      </c>
      <c r="K318" s="22">
        <v>0</v>
      </c>
      <c r="L318" s="3" t="s">
        <v>35</v>
      </c>
      <c r="M318" s="350"/>
    </row>
    <row r="319" spans="1:13" s="76" customFormat="1" ht="29.25" customHeight="1">
      <c r="A319" s="349"/>
      <c r="B319" s="452"/>
      <c r="C319" s="453"/>
      <c r="D319" s="7"/>
      <c r="E319" s="46">
        <f t="shared" si="55"/>
        <v>8225.922</v>
      </c>
      <c r="F319" s="9"/>
      <c r="G319" s="26">
        <f t="shared" si="56"/>
        <v>0</v>
      </c>
      <c r="H319" s="21"/>
      <c r="I319" s="21"/>
      <c r="J319" s="21">
        <v>8225.922</v>
      </c>
      <c r="K319" s="22">
        <v>0</v>
      </c>
      <c r="L319" s="3" t="s">
        <v>21</v>
      </c>
      <c r="M319" s="350"/>
    </row>
    <row r="320" spans="1:13" s="76" customFormat="1" ht="32.25" customHeight="1">
      <c r="A320" s="349"/>
      <c r="B320" s="452"/>
      <c r="C320" s="453"/>
      <c r="D320" s="7"/>
      <c r="E320" s="46">
        <f t="shared" si="55"/>
        <v>11386.085</v>
      </c>
      <c r="F320" s="9"/>
      <c r="G320" s="26">
        <f t="shared" si="56"/>
        <v>0</v>
      </c>
      <c r="H320" s="21"/>
      <c r="I320" s="21"/>
      <c r="J320" s="21">
        <v>11386.085</v>
      </c>
      <c r="K320" s="22">
        <v>0</v>
      </c>
      <c r="L320" s="3" t="s">
        <v>36</v>
      </c>
      <c r="M320" s="350"/>
    </row>
    <row r="321" spans="1:13" s="76" customFormat="1" ht="41.25" customHeight="1">
      <c r="A321" s="349"/>
      <c r="B321" s="452"/>
      <c r="C321" s="453"/>
      <c r="D321" s="7"/>
      <c r="E321" s="46">
        <f t="shared" si="55"/>
        <v>5314.912</v>
      </c>
      <c r="F321" s="9"/>
      <c r="G321" s="26">
        <f t="shared" si="56"/>
        <v>727</v>
      </c>
      <c r="H321" s="21">
        <v>0</v>
      </c>
      <c r="I321" s="21">
        <v>727</v>
      </c>
      <c r="J321" s="21">
        <f>5287.912-700</f>
        <v>4587.912</v>
      </c>
      <c r="K321" s="22">
        <v>0</v>
      </c>
      <c r="L321" s="3" t="s">
        <v>39</v>
      </c>
      <c r="M321" s="350"/>
    </row>
    <row r="322" spans="1:13" s="76" customFormat="1" ht="69" customHeight="1">
      <c r="A322" s="349"/>
      <c r="B322" s="454"/>
      <c r="C322" s="455"/>
      <c r="D322" s="7">
        <v>2017</v>
      </c>
      <c r="E322" s="46">
        <f t="shared" si="55"/>
        <v>16200</v>
      </c>
      <c r="F322" s="47"/>
      <c r="G322" s="47">
        <f>H322+I322</f>
        <v>0</v>
      </c>
      <c r="H322" s="47">
        <v>0</v>
      </c>
      <c r="I322" s="47">
        <v>0</v>
      </c>
      <c r="J322" s="47">
        <v>16200</v>
      </c>
      <c r="K322" s="47">
        <v>0</v>
      </c>
      <c r="L322" s="3" t="s">
        <v>43</v>
      </c>
      <c r="M322" s="350"/>
    </row>
    <row r="323" spans="1:13" s="76" customFormat="1" ht="27" customHeight="1" hidden="1" thickBot="1">
      <c r="A323" s="81"/>
      <c r="B323" s="48"/>
      <c r="C323" s="48"/>
      <c r="D323" s="7"/>
      <c r="E323" s="46">
        <f>F323+G323+J323+K323</f>
        <v>0</v>
      </c>
      <c r="F323" s="47"/>
      <c r="G323" s="47"/>
      <c r="H323" s="47"/>
      <c r="I323" s="47"/>
      <c r="J323" s="21"/>
      <c r="K323" s="21"/>
      <c r="L323" s="3"/>
      <c r="M323" s="350"/>
    </row>
    <row r="324" spans="1:13" s="76" customFormat="1" ht="24.75" customHeight="1">
      <c r="A324" s="349" t="s">
        <v>91</v>
      </c>
      <c r="B324" s="456" t="s">
        <v>92</v>
      </c>
      <c r="C324" s="457"/>
      <c r="D324" s="315">
        <v>2018</v>
      </c>
      <c r="E324" s="46">
        <f>F324+G324+J324+K324</f>
        <v>209116.99978</v>
      </c>
      <c r="F324" s="46">
        <f>SUM(F325:F331)</f>
        <v>137344.5</v>
      </c>
      <c r="G324" s="46">
        <f>H324+I324</f>
        <v>1006.9820000000001</v>
      </c>
      <c r="H324" s="46">
        <f>H325+H326+H327+H328+H329+H330+H331</f>
        <v>0</v>
      </c>
      <c r="I324" s="46">
        <f>SUM(I325:I331)</f>
        <v>1006.9820000000001</v>
      </c>
      <c r="J324" s="46">
        <f>J325+J326+J327+J328+J329+J330+J331</f>
        <v>70765.51778000001</v>
      </c>
      <c r="K324" s="47">
        <v>0</v>
      </c>
      <c r="L324" s="3"/>
      <c r="M324" s="350"/>
    </row>
    <row r="325" spans="1:13" s="76" customFormat="1" ht="24.75" customHeight="1">
      <c r="A325" s="349"/>
      <c r="B325" s="458"/>
      <c r="C325" s="459"/>
      <c r="D325" s="315"/>
      <c r="E325" s="46">
        <f aca="true" t="shared" si="57" ref="E325:E337">F325+G325+J325+K325</f>
        <v>23993.106</v>
      </c>
      <c r="F325" s="9">
        <f>13666.243+401.723+232.4</f>
        <v>14300.366</v>
      </c>
      <c r="G325" s="46">
        <f>H325+I325</f>
        <v>0</v>
      </c>
      <c r="H325" s="9"/>
      <c r="I325" s="53"/>
      <c r="J325" s="9">
        <f>9852.084+390.21-2100+341.676+175.77+33+1000</f>
        <v>9692.74</v>
      </c>
      <c r="K325" s="21">
        <v>0</v>
      </c>
      <c r="L325" s="3" t="s">
        <v>10</v>
      </c>
      <c r="M325" s="350"/>
    </row>
    <row r="326" spans="1:13" s="76" customFormat="1" ht="24.75" customHeight="1">
      <c r="A326" s="349"/>
      <c r="B326" s="458"/>
      <c r="C326" s="459"/>
      <c r="D326" s="315"/>
      <c r="E326" s="46">
        <f t="shared" si="57"/>
        <v>50093.08377</v>
      </c>
      <c r="F326" s="9">
        <f>29992.565+858.854</f>
        <v>30851.418999999998</v>
      </c>
      <c r="G326" s="46">
        <f aca="true" t="shared" si="58" ref="G326:G331">H326+I326</f>
        <v>0</v>
      </c>
      <c r="H326" s="9"/>
      <c r="I326" s="53"/>
      <c r="J326" s="9">
        <f>20130.966+919.02-4300+766.8+389.718+170+1165.16077</f>
        <v>19241.66477</v>
      </c>
      <c r="K326" s="21">
        <v>0</v>
      </c>
      <c r="L326" s="3" t="s">
        <v>33</v>
      </c>
      <c r="M326" s="350"/>
    </row>
    <row r="327" spans="1:13" s="76" customFormat="1" ht="24.75" customHeight="1">
      <c r="A327" s="349"/>
      <c r="B327" s="458"/>
      <c r="C327" s="459"/>
      <c r="D327" s="315"/>
      <c r="E327" s="46">
        <f t="shared" si="57"/>
        <v>28049.476</v>
      </c>
      <c r="F327" s="9">
        <f>14985.192+401.723</f>
        <v>15386.914999999999</v>
      </c>
      <c r="G327" s="46">
        <f t="shared" si="58"/>
        <v>0</v>
      </c>
      <c r="H327" s="9"/>
      <c r="I327" s="53"/>
      <c r="J327" s="9">
        <f>13529.638+429.793-2900+367.83+195.3+40+1000</f>
        <v>12662.561</v>
      </c>
      <c r="K327" s="21">
        <v>0</v>
      </c>
      <c r="L327" s="3" t="s">
        <v>34</v>
      </c>
      <c r="M327" s="350"/>
    </row>
    <row r="328" spans="1:13" s="76" customFormat="1" ht="24.75" customHeight="1">
      <c r="A328" s="349"/>
      <c r="B328" s="458"/>
      <c r="C328" s="459"/>
      <c r="D328" s="315"/>
      <c r="E328" s="46">
        <f t="shared" si="57"/>
        <v>42507.873999999996</v>
      </c>
      <c r="F328" s="9">
        <f>30680.494+2764.647+1578.681</f>
        <v>35023.82199999999</v>
      </c>
      <c r="G328" s="46">
        <f t="shared" si="58"/>
        <v>0</v>
      </c>
      <c r="H328" s="9"/>
      <c r="I328" s="53"/>
      <c r="J328" s="9">
        <f>8048.81-1700+345.242-210+1000</f>
        <v>7484.052000000001</v>
      </c>
      <c r="K328" s="21">
        <v>0</v>
      </c>
      <c r="L328" s="3" t="s">
        <v>35</v>
      </c>
      <c r="M328" s="350"/>
    </row>
    <row r="329" spans="1:13" s="76" customFormat="1" ht="24.75" customHeight="1">
      <c r="A329" s="349"/>
      <c r="B329" s="458"/>
      <c r="C329" s="459"/>
      <c r="D329" s="315"/>
      <c r="E329" s="46">
        <f t="shared" si="57"/>
        <v>50010.63799999999</v>
      </c>
      <c r="F329" s="9">
        <f>39719.506+177.753+1884.719</f>
        <v>41781.977999999996</v>
      </c>
      <c r="G329" s="46">
        <f t="shared" si="58"/>
        <v>0</v>
      </c>
      <c r="H329" s="9"/>
      <c r="I329" s="53"/>
      <c r="J329" s="9">
        <f>8631.55-1800+397.11+1000</f>
        <v>8228.66</v>
      </c>
      <c r="K329" s="21">
        <v>0</v>
      </c>
      <c r="L329" s="3" t="s">
        <v>21</v>
      </c>
      <c r="M329" s="350"/>
    </row>
    <row r="330" spans="1:13" s="76" customFormat="1" ht="24.75" customHeight="1">
      <c r="A330" s="349"/>
      <c r="B330" s="458"/>
      <c r="C330" s="459"/>
      <c r="D330" s="315"/>
      <c r="E330" s="46">
        <f t="shared" si="57"/>
        <v>9699.46648</v>
      </c>
      <c r="F330" s="46"/>
      <c r="G330" s="46">
        <f t="shared" si="58"/>
        <v>1006.9820000000001</v>
      </c>
      <c r="H330" s="9">
        <v>0</v>
      </c>
      <c r="I330" s="9">
        <f>607.273+227.345+172.364</f>
        <v>1006.9820000000001</v>
      </c>
      <c r="J330" s="9">
        <f>10509.141+105.556-2200-617.733+133+762.52048</f>
        <v>8692.48448</v>
      </c>
      <c r="K330" s="21">
        <v>0</v>
      </c>
      <c r="L330" s="3" t="s">
        <v>36</v>
      </c>
      <c r="M330" s="350"/>
    </row>
    <row r="331" spans="1:13" s="76" customFormat="1" ht="35.25" customHeight="1">
      <c r="A331" s="349"/>
      <c r="B331" s="458"/>
      <c r="C331" s="459"/>
      <c r="D331" s="315"/>
      <c r="E331" s="46">
        <f t="shared" si="57"/>
        <v>4763.355530000001</v>
      </c>
      <c r="F331" s="46"/>
      <c r="G331" s="46">
        <f t="shared" si="58"/>
        <v>0</v>
      </c>
      <c r="H331" s="9"/>
      <c r="I331" s="9">
        <v>0</v>
      </c>
      <c r="J331" s="9">
        <f>4700.622+104.16-92.24918+50.82271</f>
        <v>4763.355530000001</v>
      </c>
      <c r="K331" s="21">
        <v>0</v>
      </c>
      <c r="L331" s="3" t="s">
        <v>58</v>
      </c>
      <c r="M331" s="350"/>
    </row>
    <row r="332" spans="1:13" s="76" customFormat="1" ht="24.75" customHeight="1">
      <c r="A332" s="349"/>
      <c r="B332" s="458"/>
      <c r="C332" s="459"/>
      <c r="D332" s="315">
        <v>2018</v>
      </c>
      <c r="E332" s="46">
        <f t="shared" si="57"/>
        <v>0</v>
      </c>
      <c r="F332" s="46">
        <f>SUM(F333:F337)</f>
        <v>0</v>
      </c>
      <c r="G332" s="46">
        <f>SUM(G333:G337)</f>
        <v>0</v>
      </c>
      <c r="H332" s="46">
        <f>SUM(H333:H337)</f>
        <v>0</v>
      </c>
      <c r="I332" s="46">
        <f>SUM(I333:I337)</f>
        <v>0</v>
      </c>
      <c r="J332" s="46">
        <f>SUM(J333:J337)</f>
        <v>0</v>
      </c>
      <c r="K332" s="47"/>
      <c r="L332" s="38"/>
      <c r="M332" s="350"/>
    </row>
    <row r="333" spans="1:13" s="76" customFormat="1" ht="24.75" customHeight="1">
      <c r="A333" s="349"/>
      <c r="B333" s="458"/>
      <c r="C333" s="459"/>
      <c r="D333" s="315"/>
      <c r="E333" s="46">
        <f t="shared" si="57"/>
        <v>0</v>
      </c>
      <c r="F333" s="20"/>
      <c r="G333" s="46">
        <f aca="true" t="shared" si="59" ref="G333:G347">H333+I333</f>
        <v>0</v>
      </c>
      <c r="H333" s="9"/>
      <c r="I333" s="9"/>
      <c r="J333" s="9">
        <v>0</v>
      </c>
      <c r="K333" s="21"/>
      <c r="L333" s="3" t="s">
        <v>10</v>
      </c>
      <c r="M333" s="350"/>
    </row>
    <row r="334" spans="1:13" s="76" customFormat="1" ht="24.75" customHeight="1">
      <c r="A334" s="349"/>
      <c r="B334" s="458"/>
      <c r="C334" s="459"/>
      <c r="D334" s="315"/>
      <c r="E334" s="46">
        <f t="shared" si="57"/>
        <v>0</v>
      </c>
      <c r="F334" s="20"/>
      <c r="G334" s="46">
        <f t="shared" si="59"/>
        <v>0</v>
      </c>
      <c r="H334" s="9"/>
      <c r="I334" s="9"/>
      <c r="J334" s="9">
        <v>0</v>
      </c>
      <c r="K334" s="21"/>
      <c r="L334" s="3" t="s">
        <v>33</v>
      </c>
      <c r="M334" s="350"/>
    </row>
    <row r="335" spans="1:13" s="76" customFormat="1" ht="24.75" customHeight="1">
      <c r="A335" s="349"/>
      <c r="B335" s="458"/>
      <c r="C335" s="459"/>
      <c r="D335" s="315"/>
      <c r="E335" s="46">
        <f t="shared" si="57"/>
        <v>0</v>
      </c>
      <c r="F335" s="20"/>
      <c r="G335" s="46">
        <f t="shared" si="59"/>
        <v>0</v>
      </c>
      <c r="H335" s="9"/>
      <c r="I335" s="9"/>
      <c r="J335" s="9">
        <v>0</v>
      </c>
      <c r="K335" s="21"/>
      <c r="L335" s="3" t="s">
        <v>34</v>
      </c>
      <c r="M335" s="350"/>
    </row>
    <row r="336" spans="1:13" s="76" customFormat="1" ht="24.75" customHeight="1">
      <c r="A336" s="349"/>
      <c r="B336" s="458"/>
      <c r="C336" s="459"/>
      <c r="D336" s="315"/>
      <c r="E336" s="46">
        <f t="shared" si="57"/>
        <v>0</v>
      </c>
      <c r="F336" s="20"/>
      <c r="G336" s="46">
        <f t="shared" si="59"/>
        <v>0</v>
      </c>
      <c r="H336" s="9"/>
      <c r="I336" s="9"/>
      <c r="J336" s="9">
        <v>0</v>
      </c>
      <c r="K336" s="21"/>
      <c r="L336" s="3" t="s">
        <v>35</v>
      </c>
      <c r="M336" s="350"/>
    </row>
    <row r="337" spans="1:13" s="76" customFormat="1" ht="24.75" customHeight="1">
      <c r="A337" s="349"/>
      <c r="B337" s="458"/>
      <c r="C337" s="459"/>
      <c r="D337" s="315"/>
      <c r="E337" s="46">
        <f t="shared" si="57"/>
        <v>0</v>
      </c>
      <c r="F337" s="20"/>
      <c r="G337" s="46">
        <f t="shared" si="59"/>
        <v>0</v>
      </c>
      <c r="H337" s="9"/>
      <c r="I337" s="9"/>
      <c r="J337" s="9">
        <v>0</v>
      </c>
      <c r="K337" s="21"/>
      <c r="L337" s="3" t="s">
        <v>21</v>
      </c>
      <c r="M337" s="350"/>
    </row>
    <row r="338" spans="1:13" s="76" customFormat="1" ht="24.75" customHeight="1">
      <c r="A338" s="349"/>
      <c r="B338" s="458"/>
      <c r="C338" s="459"/>
      <c r="D338" s="315">
        <v>2019</v>
      </c>
      <c r="E338" s="47">
        <f>F338+G338+J338+K338</f>
        <v>229770.53044</v>
      </c>
      <c r="F338" s="47">
        <f>SUM(F339:F347)</f>
        <v>150533.8</v>
      </c>
      <c r="G338" s="47">
        <f t="shared" si="59"/>
        <v>1276.052</v>
      </c>
      <c r="H338" s="47">
        <f>H339+H340+H341+H342+H343+H345+H347</f>
        <v>0</v>
      </c>
      <c r="I338" s="47">
        <f>I339+I340+I341+I342+I343+I345+I347</f>
        <v>1276.052</v>
      </c>
      <c r="J338" s="47">
        <f>SUM(J339:J347)</f>
        <v>77960.67844000002</v>
      </c>
      <c r="K338" s="47">
        <f>SUM(K339:K347)</f>
        <v>0</v>
      </c>
      <c r="L338" s="3"/>
      <c r="M338" s="350"/>
    </row>
    <row r="339" spans="1:13" s="76" customFormat="1" ht="24.75" customHeight="1">
      <c r="A339" s="349"/>
      <c r="B339" s="458"/>
      <c r="C339" s="459"/>
      <c r="D339" s="315"/>
      <c r="E339" s="21">
        <f aca="true" t="shared" si="60" ref="E339:E357">F339+G339+J339+K339</f>
        <v>24241.684</v>
      </c>
      <c r="F339" s="21">
        <f>13252.661+1120.6</f>
        <v>14373.261</v>
      </c>
      <c r="G339" s="21">
        <f t="shared" si="59"/>
        <v>0</v>
      </c>
      <c r="H339" s="21"/>
      <c r="I339" s="21"/>
      <c r="J339" s="21">
        <f>9770.96256+1.65244--30+65.808</f>
        <v>9868.423</v>
      </c>
      <c r="K339" s="21">
        <v>0</v>
      </c>
      <c r="L339" s="3" t="s">
        <v>10</v>
      </c>
      <c r="M339" s="350"/>
    </row>
    <row r="340" spans="1:13" s="76" customFormat="1" ht="24.75" customHeight="1">
      <c r="A340" s="349"/>
      <c r="B340" s="458"/>
      <c r="C340" s="459"/>
      <c r="D340" s="315"/>
      <c r="E340" s="21">
        <f t="shared" si="60"/>
        <v>49871.14725</v>
      </c>
      <c r="F340" s="21">
        <f>29522.977-533.6</f>
        <v>28989.377</v>
      </c>
      <c r="G340" s="21">
        <f t="shared" si="59"/>
        <v>0</v>
      </c>
      <c r="H340" s="21"/>
      <c r="I340" s="21"/>
      <c r="J340" s="21">
        <f>20596.83525-30+314.935</f>
        <v>20881.77025</v>
      </c>
      <c r="K340" s="21">
        <v>0</v>
      </c>
      <c r="L340" s="3" t="s">
        <v>33</v>
      </c>
      <c r="M340" s="350"/>
    </row>
    <row r="341" spans="1:13" s="76" customFormat="1" ht="24.75" customHeight="1">
      <c r="A341" s="349"/>
      <c r="B341" s="458"/>
      <c r="C341" s="459"/>
      <c r="D341" s="315"/>
      <c r="E341" s="21">
        <f t="shared" si="60"/>
        <v>29872.57956</v>
      </c>
      <c r="F341" s="21">
        <f>15424.362+117.4</f>
        <v>15541.761999999999</v>
      </c>
      <c r="G341" s="21">
        <f t="shared" si="59"/>
        <v>0</v>
      </c>
      <c r="H341" s="21"/>
      <c r="I341" s="21"/>
      <c r="J341" s="21">
        <f>12530.84+998.142-1.65244+803.488</f>
        <v>14330.81756</v>
      </c>
      <c r="K341" s="21">
        <v>0</v>
      </c>
      <c r="L341" s="3" t="s">
        <v>34</v>
      </c>
      <c r="M341" s="350"/>
    </row>
    <row r="342" spans="1:13" s="76" customFormat="1" ht="24.75" customHeight="1">
      <c r="A342" s="349"/>
      <c r="B342" s="458"/>
      <c r="C342" s="459"/>
      <c r="D342" s="315"/>
      <c r="E342" s="21">
        <f t="shared" si="60"/>
        <v>49171.80562000001</v>
      </c>
      <c r="F342" s="21">
        <f>39746.014+486.427+1812.116</f>
        <v>42044.55700000001</v>
      </c>
      <c r="G342" s="21">
        <f t="shared" si="59"/>
        <v>0</v>
      </c>
      <c r="H342" s="21"/>
      <c r="I342" s="21"/>
      <c r="J342" s="21">
        <f>6993.76062+133.488</f>
        <v>7127.24862</v>
      </c>
      <c r="K342" s="21">
        <v>0</v>
      </c>
      <c r="L342" s="3" t="s">
        <v>35</v>
      </c>
      <c r="M342" s="350"/>
    </row>
    <row r="343" spans="1:13" s="76" customFormat="1" ht="24.75" customHeight="1">
      <c r="A343" s="349"/>
      <c r="B343" s="458"/>
      <c r="C343" s="459"/>
      <c r="D343" s="315"/>
      <c r="E343" s="21">
        <f t="shared" si="60"/>
        <v>57432.95017</v>
      </c>
      <c r="F343" s="21">
        <f>46911.986+528.073+2144.784</f>
        <v>49584.84299999999</v>
      </c>
      <c r="G343" s="21">
        <f t="shared" si="59"/>
        <v>0</v>
      </c>
      <c r="H343" s="21"/>
      <c r="I343" s="21"/>
      <c r="J343" s="21">
        <f>7595.99717+252.11</f>
        <v>7848.107169999999</v>
      </c>
      <c r="K343" s="21">
        <v>0</v>
      </c>
      <c r="L343" s="3" t="s">
        <v>21</v>
      </c>
      <c r="M343" s="350"/>
    </row>
    <row r="344" spans="1:13" s="76" customFormat="1" ht="24.75" customHeight="1">
      <c r="A344" s="349"/>
      <c r="B344" s="458"/>
      <c r="C344" s="459"/>
      <c r="D344" s="315"/>
      <c r="E344" s="21">
        <f t="shared" si="60"/>
        <v>5966.100090000001</v>
      </c>
      <c r="F344" s="21">
        <v>0</v>
      </c>
      <c r="G344" s="21">
        <f t="shared" si="59"/>
        <v>0</v>
      </c>
      <c r="H344" s="21"/>
      <c r="I344" s="21"/>
      <c r="J344" s="21">
        <f>4712.3+667.168+264.33597+127.27612+136.43+58.59</f>
        <v>5966.100090000001</v>
      </c>
      <c r="K344" s="21">
        <v>0</v>
      </c>
      <c r="L344" s="3" t="s">
        <v>158</v>
      </c>
      <c r="M344" s="350"/>
    </row>
    <row r="345" spans="1:13" s="76" customFormat="1" ht="24.75" customHeight="1">
      <c r="A345" s="349"/>
      <c r="B345" s="458"/>
      <c r="C345" s="459"/>
      <c r="D345" s="315"/>
      <c r="E345" s="21">
        <f t="shared" si="60"/>
        <v>5395.09146</v>
      </c>
      <c r="F345" s="21">
        <v>0</v>
      </c>
      <c r="G345" s="21">
        <f t="shared" si="59"/>
        <v>0</v>
      </c>
      <c r="H345" s="21"/>
      <c r="I345" s="21"/>
      <c r="J345" s="21">
        <f>5746.63146-351.54</f>
        <v>5395.09146</v>
      </c>
      <c r="K345" s="21">
        <v>0</v>
      </c>
      <c r="L345" s="3" t="s">
        <v>157</v>
      </c>
      <c r="M345" s="350"/>
    </row>
    <row r="346" spans="1:13" s="76" customFormat="1" ht="24.75" customHeight="1">
      <c r="A346" s="349"/>
      <c r="B346" s="458"/>
      <c r="C346" s="459"/>
      <c r="D346" s="315"/>
      <c r="E346" s="21">
        <f t="shared" si="60"/>
        <v>59.5</v>
      </c>
      <c r="F346" s="21">
        <v>0</v>
      </c>
      <c r="G346" s="21">
        <f t="shared" si="59"/>
        <v>0</v>
      </c>
      <c r="H346" s="21"/>
      <c r="I346" s="21"/>
      <c r="J346" s="21">
        <v>59.5</v>
      </c>
      <c r="K346" s="21">
        <v>0</v>
      </c>
      <c r="L346" s="3" t="s">
        <v>229</v>
      </c>
      <c r="M346" s="350"/>
    </row>
    <row r="347" spans="1:13" s="76" customFormat="1" ht="43.5" customHeight="1">
      <c r="A347" s="349"/>
      <c r="B347" s="458"/>
      <c r="C347" s="459"/>
      <c r="D347" s="315"/>
      <c r="E347" s="21">
        <f t="shared" si="60"/>
        <v>7759.672289999999</v>
      </c>
      <c r="F347" s="21">
        <v>0</v>
      </c>
      <c r="G347" s="21">
        <f t="shared" si="59"/>
        <v>1276.052</v>
      </c>
      <c r="H347" s="21"/>
      <c r="I347" s="21">
        <f>1139.636+136.416</f>
        <v>1276.052</v>
      </c>
      <c r="J347" s="21">
        <f>5849.69929-59.5+585.9+107.521</f>
        <v>6483.620289999999</v>
      </c>
      <c r="K347" s="21">
        <v>0</v>
      </c>
      <c r="L347" s="3" t="s">
        <v>58</v>
      </c>
      <c r="M347" s="350"/>
    </row>
    <row r="348" spans="1:13" s="76" customFormat="1" ht="27" customHeight="1">
      <c r="A348" s="349"/>
      <c r="B348" s="458"/>
      <c r="C348" s="459"/>
      <c r="D348" s="315">
        <v>2020</v>
      </c>
      <c r="E348" s="47">
        <f t="shared" si="60"/>
        <v>233857.2095</v>
      </c>
      <c r="F348" s="47">
        <f aca="true" t="shared" si="61" ref="F348:K348">SUM(F349:F357)</f>
        <v>149607</v>
      </c>
      <c r="G348" s="47">
        <f t="shared" si="61"/>
        <v>1271</v>
      </c>
      <c r="H348" s="47">
        <f t="shared" si="61"/>
        <v>0</v>
      </c>
      <c r="I348" s="47">
        <f t="shared" si="61"/>
        <v>1271</v>
      </c>
      <c r="J348" s="47">
        <f t="shared" si="61"/>
        <v>82979.20950000001</v>
      </c>
      <c r="K348" s="47">
        <f t="shared" si="61"/>
        <v>0</v>
      </c>
      <c r="L348" s="3"/>
      <c r="M348" s="350"/>
    </row>
    <row r="349" spans="1:13" s="76" customFormat="1" ht="27" customHeight="1">
      <c r="A349" s="349"/>
      <c r="B349" s="458"/>
      <c r="C349" s="459"/>
      <c r="D349" s="315"/>
      <c r="E349" s="47">
        <f t="shared" si="60"/>
        <v>24451.802</v>
      </c>
      <c r="F349" s="21">
        <f>14700-1292.529</f>
        <v>13407.471</v>
      </c>
      <c r="G349" s="21">
        <f>H349+I349</f>
        <v>0</v>
      </c>
      <c r="H349" s="21"/>
      <c r="I349" s="21"/>
      <c r="J349" s="21">
        <f>10684.932+359.399</f>
        <v>11044.331</v>
      </c>
      <c r="K349" s="21">
        <v>0</v>
      </c>
      <c r="L349" s="3" t="s">
        <v>10</v>
      </c>
      <c r="M349" s="350"/>
    </row>
    <row r="350" spans="1:13" s="76" customFormat="1" ht="27" customHeight="1">
      <c r="A350" s="349"/>
      <c r="B350" s="458"/>
      <c r="C350" s="459"/>
      <c r="D350" s="315"/>
      <c r="E350" s="47">
        <f t="shared" si="60"/>
        <v>52680.349</v>
      </c>
      <c r="F350" s="21">
        <f>30246-286.376</f>
        <v>29959.624</v>
      </c>
      <c r="G350" s="21">
        <f aca="true" t="shared" si="62" ref="G350:G357">H350+I350</f>
        <v>0</v>
      </c>
      <c r="H350" s="21"/>
      <c r="I350" s="21"/>
      <c r="J350" s="21">
        <f>21928.883+791.842</f>
        <v>22720.725000000002</v>
      </c>
      <c r="K350" s="21">
        <v>0</v>
      </c>
      <c r="L350" s="3" t="s">
        <v>33</v>
      </c>
      <c r="M350" s="350"/>
    </row>
    <row r="351" spans="1:13" s="76" customFormat="1" ht="27" customHeight="1">
      <c r="A351" s="349"/>
      <c r="B351" s="458"/>
      <c r="C351" s="459"/>
      <c r="D351" s="315"/>
      <c r="E351" s="47">
        <f t="shared" si="60"/>
        <v>30302.429</v>
      </c>
      <c r="F351" s="21">
        <f>16200-1075.066</f>
        <v>15124.934</v>
      </c>
      <c r="G351" s="21">
        <f t="shared" si="62"/>
        <v>0</v>
      </c>
      <c r="H351" s="21"/>
      <c r="I351" s="21"/>
      <c r="J351" s="21">
        <f>14792.02+385.475</f>
        <v>15177.495</v>
      </c>
      <c r="K351" s="21">
        <v>0</v>
      </c>
      <c r="L351" s="3" t="s">
        <v>34</v>
      </c>
      <c r="M351" s="350"/>
    </row>
    <row r="352" spans="1:13" s="76" customFormat="1" ht="27" customHeight="1">
      <c r="A352" s="349"/>
      <c r="B352" s="458"/>
      <c r="C352" s="459"/>
      <c r="D352" s="315"/>
      <c r="E352" s="47">
        <f t="shared" si="60"/>
        <v>50896.964</v>
      </c>
      <c r="F352" s="21">
        <f>40601+2420.539</f>
        <v>43021.539</v>
      </c>
      <c r="G352" s="21">
        <f t="shared" si="62"/>
        <v>0</v>
      </c>
      <c r="H352" s="21"/>
      <c r="I352" s="21"/>
      <c r="J352" s="21">
        <v>7875.425</v>
      </c>
      <c r="K352" s="21">
        <v>0</v>
      </c>
      <c r="L352" s="3" t="s">
        <v>35</v>
      </c>
      <c r="M352" s="350"/>
    </row>
    <row r="353" spans="1:13" s="76" customFormat="1" ht="27" customHeight="1">
      <c r="A353" s="349"/>
      <c r="B353" s="458"/>
      <c r="C353" s="459"/>
      <c r="D353" s="315"/>
      <c r="E353" s="47">
        <f t="shared" si="60"/>
        <v>56599.622</v>
      </c>
      <c r="F353" s="21">
        <f>47860+233.432</f>
        <v>48093.432</v>
      </c>
      <c r="G353" s="21">
        <f t="shared" si="62"/>
        <v>0</v>
      </c>
      <c r="H353" s="21"/>
      <c r="I353" s="21"/>
      <c r="J353" s="21">
        <v>8506.19</v>
      </c>
      <c r="K353" s="21">
        <v>0</v>
      </c>
      <c r="L353" s="3" t="s">
        <v>21</v>
      </c>
      <c r="M353" s="350"/>
    </row>
    <row r="354" spans="1:13" s="76" customFormat="1" ht="27" customHeight="1">
      <c r="A354" s="349"/>
      <c r="B354" s="458"/>
      <c r="C354" s="459"/>
      <c r="D354" s="315"/>
      <c r="E354" s="47">
        <f t="shared" si="60"/>
        <v>5710.81</v>
      </c>
      <c r="F354" s="21">
        <v>0</v>
      </c>
      <c r="G354" s="21">
        <f t="shared" si="62"/>
        <v>0</v>
      </c>
      <c r="H354" s="21"/>
      <c r="I354" s="21"/>
      <c r="J354" s="21">
        <v>5710.81</v>
      </c>
      <c r="K354" s="21">
        <v>0</v>
      </c>
      <c r="L354" s="3" t="s">
        <v>226</v>
      </c>
      <c r="M354" s="350"/>
    </row>
    <row r="355" spans="1:13" s="76" customFormat="1" ht="27" customHeight="1">
      <c r="A355" s="349"/>
      <c r="B355" s="458"/>
      <c r="C355" s="459"/>
      <c r="D355" s="315"/>
      <c r="E355" s="47">
        <f t="shared" si="60"/>
        <v>5709.542</v>
      </c>
      <c r="F355" s="21">
        <v>0</v>
      </c>
      <c r="G355" s="21">
        <v>0</v>
      </c>
      <c r="H355" s="21"/>
      <c r="I355" s="21"/>
      <c r="J355" s="21">
        <v>5709.542</v>
      </c>
      <c r="K355" s="21"/>
      <c r="L355" s="3" t="s">
        <v>157</v>
      </c>
      <c r="M355" s="350"/>
    </row>
    <row r="356" spans="1:13" s="76" customFormat="1" ht="27" customHeight="1">
      <c r="A356" s="349"/>
      <c r="B356" s="458"/>
      <c r="C356" s="459"/>
      <c r="D356" s="315"/>
      <c r="E356" s="47">
        <f t="shared" si="60"/>
        <v>189.873</v>
      </c>
      <c r="F356" s="21">
        <v>0</v>
      </c>
      <c r="G356" s="21">
        <v>0</v>
      </c>
      <c r="H356" s="21"/>
      <c r="I356" s="21"/>
      <c r="J356" s="21">
        <f>190-0.127</f>
        <v>189.873</v>
      </c>
      <c r="K356" s="21"/>
      <c r="L356" s="3" t="s">
        <v>228</v>
      </c>
      <c r="M356" s="350"/>
    </row>
    <row r="357" spans="1:13" s="76" customFormat="1" ht="27" customHeight="1">
      <c r="A357" s="349"/>
      <c r="B357" s="458"/>
      <c r="C357" s="459"/>
      <c r="D357" s="315"/>
      <c r="E357" s="47">
        <f t="shared" si="60"/>
        <v>7315.8185</v>
      </c>
      <c r="F357" s="21">
        <v>0</v>
      </c>
      <c r="G357" s="21">
        <f t="shared" si="62"/>
        <v>1271</v>
      </c>
      <c r="H357" s="21"/>
      <c r="I357" s="21">
        <v>1271</v>
      </c>
      <c r="J357" s="21">
        <f>6405.021-360.3295+0.127</f>
        <v>6044.8185</v>
      </c>
      <c r="K357" s="21">
        <v>0</v>
      </c>
      <c r="L357" s="3" t="s">
        <v>227</v>
      </c>
      <c r="M357" s="350"/>
    </row>
    <row r="358" spans="1:13" s="76" customFormat="1" ht="27" customHeight="1">
      <c r="A358" s="349"/>
      <c r="B358" s="458"/>
      <c r="C358" s="459"/>
      <c r="D358" s="7">
        <v>2021</v>
      </c>
      <c r="E358" s="47">
        <f aca="true" t="shared" si="63" ref="E358:K358">SUM(E359:E367)</f>
        <v>214797.228</v>
      </c>
      <c r="F358" s="47">
        <f t="shared" si="63"/>
        <v>143532.8</v>
      </c>
      <c r="G358" s="47">
        <f t="shared" si="63"/>
        <v>1271</v>
      </c>
      <c r="H358" s="47">
        <f t="shared" si="63"/>
        <v>0</v>
      </c>
      <c r="I358" s="47">
        <f t="shared" si="63"/>
        <v>1271</v>
      </c>
      <c r="J358" s="47">
        <f>SUM(J359:J367)</f>
        <v>69993.428</v>
      </c>
      <c r="K358" s="47">
        <f t="shared" si="63"/>
        <v>0</v>
      </c>
      <c r="L358" s="3"/>
      <c r="M358" s="350"/>
    </row>
    <row r="359" spans="1:13" s="76" customFormat="1" ht="27" customHeight="1">
      <c r="A359" s="349"/>
      <c r="B359" s="458"/>
      <c r="C359" s="459"/>
      <c r="D359" s="7"/>
      <c r="E359" s="47">
        <f>F359+G359+J359+K359</f>
        <v>23060.217</v>
      </c>
      <c r="F359" s="21">
        <v>14100</v>
      </c>
      <c r="G359" s="21">
        <f>H359+I359</f>
        <v>0</v>
      </c>
      <c r="H359" s="21"/>
      <c r="I359" s="21"/>
      <c r="J359" s="21">
        <v>8960.217</v>
      </c>
      <c r="K359" s="21">
        <v>0</v>
      </c>
      <c r="L359" s="3" t="s">
        <v>10</v>
      </c>
      <c r="M359" s="350"/>
    </row>
    <row r="360" spans="1:13" s="76" customFormat="1" ht="27" customHeight="1">
      <c r="A360" s="349"/>
      <c r="B360" s="458"/>
      <c r="C360" s="459"/>
      <c r="D360" s="7"/>
      <c r="E360" s="47">
        <f aca="true" t="shared" si="64" ref="E360:E367">F360+G360+J360+K360</f>
        <v>48097.827000000005</v>
      </c>
      <c r="F360" s="21">
        <v>29100</v>
      </c>
      <c r="G360" s="21">
        <f aca="true" t="shared" si="65" ref="G360:G367">H360+I360</f>
        <v>0</v>
      </c>
      <c r="H360" s="21"/>
      <c r="I360" s="21"/>
      <c r="J360" s="21">
        <v>18997.827</v>
      </c>
      <c r="K360" s="21">
        <v>0</v>
      </c>
      <c r="L360" s="3" t="s">
        <v>33</v>
      </c>
      <c r="M360" s="350"/>
    </row>
    <row r="361" spans="1:13" s="76" customFormat="1" ht="27" customHeight="1">
      <c r="A361" s="349"/>
      <c r="B361" s="458"/>
      <c r="C361" s="459"/>
      <c r="D361" s="7"/>
      <c r="E361" s="47">
        <f t="shared" si="64"/>
        <v>27568.181</v>
      </c>
      <c r="F361" s="21">
        <v>15500</v>
      </c>
      <c r="G361" s="21">
        <f t="shared" si="65"/>
        <v>0</v>
      </c>
      <c r="H361" s="21"/>
      <c r="I361" s="21"/>
      <c r="J361" s="21">
        <v>12068.181</v>
      </c>
      <c r="K361" s="21">
        <v>0</v>
      </c>
      <c r="L361" s="3" t="s">
        <v>34</v>
      </c>
      <c r="M361" s="350"/>
    </row>
    <row r="362" spans="1:13" s="76" customFormat="1" ht="27" customHeight="1">
      <c r="A362" s="349"/>
      <c r="B362" s="458"/>
      <c r="C362" s="459"/>
      <c r="D362" s="7"/>
      <c r="E362" s="47">
        <f t="shared" si="64"/>
        <v>45268.990000000005</v>
      </c>
      <c r="F362" s="21">
        <v>39232.8</v>
      </c>
      <c r="G362" s="21">
        <f t="shared" si="65"/>
        <v>0</v>
      </c>
      <c r="H362" s="21"/>
      <c r="I362" s="21"/>
      <c r="J362" s="21">
        <f>6092.59-56.4</f>
        <v>6036.1900000000005</v>
      </c>
      <c r="K362" s="21">
        <v>0</v>
      </c>
      <c r="L362" s="3" t="s">
        <v>35</v>
      </c>
      <c r="M362" s="350"/>
    </row>
    <row r="363" spans="1:13" s="76" customFormat="1" ht="27" customHeight="1">
      <c r="A363" s="349"/>
      <c r="B363" s="458"/>
      <c r="C363" s="459"/>
      <c r="D363" s="7"/>
      <c r="E363" s="47">
        <f t="shared" si="64"/>
        <v>52515.64</v>
      </c>
      <c r="F363" s="21">
        <v>45600</v>
      </c>
      <c r="G363" s="21">
        <f t="shared" si="65"/>
        <v>0</v>
      </c>
      <c r="H363" s="21"/>
      <c r="I363" s="21"/>
      <c r="J363" s="21">
        <f>7065.04-149.4</f>
        <v>6915.64</v>
      </c>
      <c r="K363" s="21">
        <v>0</v>
      </c>
      <c r="L363" s="3" t="s">
        <v>21</v>
      </c>
      <c r="M363" s="350"/>
    </row>
    <row r="364" spans="1:13" s="76" customFormat="1" ht="27" customHeight="1">
      <c r="A364" s="349"/>
      <c r="B364" s="458"/>
      <c r="C364" s="459"/>
      <c r="D364" s="7"/>
      <c r="E364" s="47">
        <f t="shared" si="64"/>
        <v>4710.81</v>
      </c>
      <c r="F364" s="21">
        <v>0</v>
      </c>
      <c r="G364" s="21">
        <f t="shared" si="65"/>
        <v>0</v>
      </c>
      <c r="H364" s="21"/>
      <c r="I364" s="21"/>
      <c r="J364" s="21">
        <v>4710.81</v>
      </c>
      <c r="K364" s="21">
        <v>0</v>
      </c>
      <c r="L364" s="3" t="s">
        <v>230</v>
      </c>
      <c r="M364" s="350"/>
    </row>
    <row r="365" spans="1:13" s="76" customFormat="1" ht="27" customHeight="1">
      <c r="A365" s="349"/>
      <c r="B365" s="458"/>
      <c r="C365" s="459"/>
      <c r="D365" s="7"/>
      <c r="E365" s="47">
        <f t="shared" si="64"/>
        <v>5709.542</v>
      </c>
      <c r="F365" s="21">
        <v>0</v>
      </c>
      <c r="G365" s="21">
        <f t="shared" si="65"/>
        <v>0</v>
      </c>
      <c r="H365" s="21"/>
      <c r="I365" s="21"/>
      <c r="J365" s="21">
        <v>5709.542</v>
      </c>
      <c r="K365" s="21"/>
      <c r="L365" s="6" t="s">
        <v>157</v>
      </c>
      <c r="M365" s="350"/>
    </row>
    <row r="366" spans="1:13" s="76" customFormat="1" ht="27" customHeight="1">
      <c r="A366" s="349"/>
      <c r="B366" s="458"/>
      <c r="C366" s="459"/>
      <c r="D366" s="7"/>
      <c r="E366" s="47">
        <f t="shared" si="64"/>
        <v>189.873</v>
      </c>
      <c r="F366" s="21">
        <v>0</v>
      </c>
      <c r="G366" s="21">
        <f t="shared" si="65"/>
        <v>0</v>
      </c>
      <c r="H366" s="21"/>
      <c r="I366" s="21"/>
      <c r="J366" s="21">
        <f>190-0.127</f>
        <v>189.873</v>
      </c>
      <c r="K366" s="21"/>
      <c r="L366" s="6" t="s">
        <v>228</v>
      </c>
      <c r="M366" s="350"/>
    </row>
    <row r="367" spans="1:13" s="76" customFormat="1" ht="31.5" customHeight="1">
      <c r="A367" s="349"/>
      <c r="B367" s="458"/>
      <c r="C367" s="459"/>
      <c r="D367" s="7"/>
      <c r="E367" s="47">
        <f t="shared" si="64"/>
        <v>7676.148</v>
      </c>
      <c r="F367" s="21">
        <v>0</v>
      </c>
      <c r="G367" s="21">
        <f t="shared" si="65"/>
        <v>1271</v>
      </c>
      <c r="H367" s="21"/>
      <c r="I367" s="21">
        <v>1271</v>
      </c>
      <c r="J367" s="21">
        <f>6405.021+0.127</f>
        <v>6405.148</v>
      </c>
      <c r="K367" s="21">
        <v>0</v>
      </c>
      <c r="L367" s="6" t="s">
        <v>227</v>
      </c>
      <c r="M367" s="350"/>
    </row>
    <row r="368" spans="1:13" s="76" customFormat="1" ht="27.75" customHeight="1">
      <c r="A368" s="349"/>
      <c r="B368" s="458"/>
      <c r="C368" s="459"/>
      <c r="D368" s="315">
        <v>2022</v>
      </c>
      <c r="E368" s="47">
        <f aca="true" t="shared" si="66" ref="E368:K368">SUM(E369:E377)</f>
        <v>214038.92799999996</v>
      </c>
      <c r="F368" s="47">
        <f t="shared" si="66"/>
        <v>143532.8</v>
      </c>
      <c r="G368" s="47">
        <f t="shared" si="66"/>
        <v>1271</v>
      </c>
      <c r="H368" s="47">
        <f t="shared" si="66"/>
        <v>0</v>
      </c>
      <c r="I368" s="47">
        <f t="shared" si="66"/>
        <v>1271</v>
      </c>
      <c r="J368" s="47">
        <f t="shared" si="66"/>
        <v>69235.128</v>
      </c>
      <c r="K368" s="47">
        <f t="shared" si="66"/>
        <v>0</v>
      </c>
      <c r="L368" s="6"/>
      <c r="M368" s="350"/>
    </row>
    <row r="369" spans="1:13" s="76" customFormat="1" ht="27" customHeight="1">
      <c r="A369" s="349"/>
      <c r="B369" s="458"/>
      <c r="C369" s="459"/>
      <c r="D369" s="315"/>
      <c r="E369" s="47">
        <f>F369+G369+J369+K369</f>
        <v>23313.503</v>
      </c>
      <c r="F369" s="21">
        <v>14100</v>
      </c>
      <c r="G369" s="21">
        <f>H369+I369</f>
        <v>0</v>
      </c>
      <c r="H369" s="21"/>
      <c r="I369" s="21"/>
      <c r="J369" s="21">
        <v>9213.503</v>
      </c>
      <c r="K369" s="21">
        <v>0</v>
      </c>
      <c r="L369" s="6" t="s">
        <v>10</v>
      </c>
      <c r="M369" s="350"/>
    </row>
    <row r="370" spans="1:13" s="76" customFormat="1" ht="27" customHeight="1">
      <c r="A370" s="349"/>
      <c r="B370" s="458"/>
      <c r="C370" s="459"/>
      <c r="D370" s="315"/>
      <c r="E370" s="47">
        <f aca="true" t="shared" si="67" ref="E370:E377">F370+G370+J370+K370</f>
        <v>47839.525</v>
      </c>
      <c r="F370" s="21">
        <v>29100</v>
      </c>
      <c r="G370" s="21">
        <f aca="true" t="shared" si="68" ref="G370:G377">H370+I370</f>
        <v>0</v>
      </c>
      <c r="H370" s="21"/>
      <c r="I370" s="21"/>
      <c r="J370" s="21">
        <v>18739.525</v>
      </c>
      <c r="K370" s="21">
        <v>0</v>
      </c>
      <c r="L370" s="6" t="s">
        <v>33</v>
      </c>
      <c r="M370" s="350"/>
    </row>
    <row r="371" spans="1:13" s="76" customFormat="1" ht="27" customHeight="1">
      <c r="A371" s="349"/>
      <c r="B371" s="458"/>
      <c r="C371" s="459"/>
      <c r="D371" s="315"/>
      <c r="E371" s="47">
        <f t="shared" si="67"/>
        <v>27147.337</v>
      </c>
      <c r="F371" s="21">
        <v>15500</v>
      </c>
      <c r="G371" s="21">
        <f t="shared" si="68"/>
        <v>0</v>
      </c>
      <c r="H371" s="21"/>
      <c r="I371" s="21"/>
      <c r="J371" s="21">
        <v>11647.337</v>
      </c>
      <c r="K371" s="21">
        <v>0</v>
      </c>
      <c r="L371" s="6" t="s">
        <v>34</v>
      </c>
      <c r="M371" s="350"/>
    </row>
    <row r="372" spans="1:13" s="76" customFormat="1" ht="27" customHeight="1">
      <c r="A372" s="349"/>
      <c r="B372" s="458"/>
      <c r="C372" s="459"/>
      <c r="D372" s="315"/>
      <c r="E372" s="47">
        <f t="shared" si="67"/>
        <v>45133.306000000004</v>
      </c>
      <c r="F372" s="21">
        <v>39232.8</v>
      </c>
      <c r="G372" s="21">
        <f t="shared" si="68"/>
        <v>0</v>
      </c>
      <c r="H372" s="21"/>
      <c r="I372" s="21"/>
      <c r="J372" s="21">
        <f>6042.506-142</f>
        <v>5900.506</v>
      </c>
      <c r="K372" s="21">
        <v>0</v>
      </c>
      <c r="L372" s="6" t="s">
        <v>35</v>
      </c>
      <c r="M372" s="350"/>
    </row>
    <row r="373" spans="1:13" s="76" customFormat="1" ht="27" customHeight="1">
      <c r="A373" s="349"/>
      <c r="B373" s="458"/>
      <c r="C373" s="459"/>
      <c r="D373" s="315"/>
      <c r="E373" s="47">
        <f t="shared" si="67"/>
        <v>52318.884</v>
      </c>
      <c r="F373" s="21">
        <v>45600</v>
      </c>
      <c r="G373" s="21">
        <f t="shared" si="68"/>
        <v>0</v>
      </c>
      <c r="H373" s="21"/>
      <c r="I373" s="21"/>
      <c r="J373" s="21">
        <v>6718.884</v>
      </c>
      <c r="K373" s="21">
        <v>0</v>
      </c>
      <c r="L373" s="6" t="s">
        <v>21</v>
      </c>
      <c r="M373" s="350"/>
    </row>
    <row r="374" spans="1:13" s="76" customFormat="1" ht="27" customHeight="1">
      <c r="A374" s="349"/>
      <c r="B374" s="458"/>
      <c r="C374" s="459"/>
      <c r="D374" s="315"/>
      <c r="E374" s="47">
        <f t="shared" si="67"/>
        <v>4710.81</v>
      </c>
      <c r="F374" s="21">
        <v>0</v>
      </c>
      <c r="G374" s="21">
        <f t="shared" si="68"/>
        <v>0</v>
      </c>
      <c r="H374" s="21"/>
      <c r="I374" s="21"/>
      <c r="J374" s="21">
        <v>4710.81</v>
      </c>
      <c r="K374" s="21">
        <v>0</v>
      </c>
      <c r="L374" s="6" t="s">
        <v>230</v>
      </c>
      <c r="M374" s="350"/>
    </row>
    <row r="375" spans="1:13" s="76" customFormat="1" ht="27" customHeight="1">
      <c r="A375" s="349"/>
      <c r="B375" s="458"/>
      <c r="C375" s="459"/>
      <c r="D375" s="315"/>
      <c r="E375" s="47">
        <f t="shared" si="67"/>
        <v>5709.542</v>
      </c>
      <c r="F375" s="21">
        <v>0</v>
      </c>
      <c r="G375" s="21">
        <f t="shared" si="68"/>
        <v>0</v>
      </c>
      <c r="H375" s="21"/>
      <c r="I375" s="21"/>
      <c r="J375" s="21">
        <v>5709.542</v>
      </c>
      <c r="K375" s="21">
        <v>0</v>
      </c>
      <c r="L375" s="6" t="s">
        <v>157</v>
      </c>
      <c r="M375" s="350"/>
    </row>
    <row r="376" spans="1:13" s="76" customFormat="1" ht="27" customHeight="1">
      <c r="A376" s="349"/>
      <c r="B376" s="458"/>
      <c r="C376" s="459"/>
      <c r="D376" s="315"/>
      <c r="E376" s="47">
        <f t="shared" si="67"/>
        <v>189.873</v>
      </c>
      <c r="F376" s="21">
        <v>0</v>
      </c>
      <c r="G376" s="21">
        <f t="shared" si="68"/>
        <v>0</v>
      </c>
      <c r="H376" s="21"/>
      <c r="I376" s="21"/>
      <c r="J376" s="21">
        <f>190-0.127</f>
        <v>189.873</v>
      </c>
      <c r="K376" s="21">
        <v>0</v>
      </c>
      <c r="L376" s="6" t="s">
        <v>228</v>
      </c>
      <c r="M376" s="350"/>
    </row>
    <row r="377" spans="1:13" s="76" customFormat="1" ht="27" customHeight="1">
      <c r="A377" s="349"/>
      <c r="B377" s="460"/>
      <c r="C377" s="461"/>
      <c r="D377" s="315"/>
      <c r="E377" s="47">
        <f t="shared" si="67"/>
        <v>7676.148</v>
      </c>
      <c r="F377" s="21">
        <v>0</v>
      </c>
      <c r="G377" s="21">
        <f t="shared" si="68"/>
        <v>1271</v>
      </c>
      <c r="H377" s="21"/>
      <c r="I377" s="21">
        <v>1271</v>
      </c>
      <c r="J377" s="21">
        <f>6405.021+0.127</f>
        <v>6405.148</v>
      </c>
      <c r="K377" s="21">
        <v>0</v>
      </c>
      <c r="L377" s="6" t="s">
        <v>227</v>
      </c>
      <c r="M377" s="350"/>
    </row>
    <row r="378" spans="1:13" s="76" customFormat="1" ht="27" customHeight="1">
      <c r="A378" s="405"/>
      <c r="B378" s="462" t="s">
        <v>42</v>
      </c>
      <c r="C378" s="462"/>
      <c r="D378" s="7">
        <v>2017</v>
      </c>
      <c r="E378" s="47">
        <f aca="true" t="shared" si="69" ref="E378:J378">E313+E322</f>
        <v>216780.416</v>
      </c>
      <c r="F378" s="47">
        <f t="shared" si="69"/>
        <v>124615.2</v>
      </c>
      <c r="G378" s="47">
        <f t="shared" si="69"/>
        <v>727</v>
      </c>
      <c r="H378" s="47">
        <f t="shared" si="69"/>
        <v>0</v>
      </c>
      <c r="I378" s="47">
        <f>I313+I322</f>
        <v>727</v>
      </c>
      <c r="J378" s="47">
        <f t="shared" si="69"/>
        <v>91438.216</v>
      </c>
      <c r="K378" s="47">
        <f>K322+K313+K304+K252+K251+K250+K249+K248+K247+K246+K198+K197</f>
        <v>0</v>
      </c>
      <c r="L378" s="6"/>
      <c r="M378" s="23"/>
    </row>
    <row r="379" spans="1:13" s="76" customFormat="1" ht="27" customHeight="1">
      <c r="A379" s="405"/>
      <c r="B379" s="462"/>
      <c r="C379" s="462"/>
      <c r="D379" s="7">
        <v>2018</v>
      </c>
      <c r="E379" s="47">
        <f aca="true" t="shared" si="70" ref="E379:J379">E332+E324</f>
        <v>209116.99978</v>
      </c>
      <c r="F379" s="47">
        <f t="shared" si="70"/>
        <v>137344.5</v>
      </c>
      <c r="G379" s="47">
        <f t="shared" si="70"/>
        <v>1006.9820000000001</v>
      </c>
      <c r="H379" s="47">
        <f t="shared" si="70"/>
        <v>0</v>
      </c>
      <c r="I379" s="47">
        <f t="shared" si="70"/>
        <v>1006.9820000000001</v>
      </c>
      <c r="J379" s="47">
        <f t="shared" si="70"/>
        <v>70765.51778000001</v>
      </c>
      <c r="K379" s="47">
        <f>K324</f>
        <v>0</v>
      </c>
      <c r="L379" s="6"/>
      <c r="M379" s="23"/>
    </row>
    <row r="380" spans="1:13" s="76" customFormat="1" ht="27" customHeight="1">
      <c r="A380" s="405"/>
      <c r="B380" s="462"/>
      <c r="C380" s="462"/>
      <c r="D380" s="7">
        <v>2019</v>
      </c>
      <c r="E380" s="47">
        <f aca="true" t="shared" si="71" ref="E380:K380">E338</f>
        <v>229770.53044</v>
      </c>
      <c r="F380" s="47">
        <f t="shared" si="71"/>
        <v>150533.8</v>
      </c>
      <c r="G380" s="47">
        <f t="shared" si="71"/>
        <v>1276.052</v>
      </c>
      <c r="H380" s="47">
        <f t="shared" si="71"/>
        <v>0</v>
      </c>
      <c r="I380" s="47">
        <f t="shared" si="71"/>
        <v>1276.052</v>
      </c>
      <c r="J380" s="47">
        <f>J338</f>
        <v>77960.67844000002</v>
      </c>
      <c r="K380" s="47">
        <f t="shared" si="71"/>
        <v>0</v>
      </c>
      <c r="L380" s="6"/>
      <c r="M380" s="23"/>
    </row>
    <row r="381" spans="1:13" s="76" customFormat="1" ht="27" customHeight="1">
      <c r="A381" s="405"/>
      <c r="B381" s="462"/>
      <c r="C381" s="462"/>
      <c r="D381" s="7">
        <v>2020</v>
      </c>
      <c r="E381" s="47">
        <f aca="true" t="shared" si="72" ref="E381:K381">E348</f>
        <v>233857.2095</v>
      </c>
      <c r="F381" s="47">
        <f t="shared" si="72"/>
        <v>149607</v>
      </c>
      <c r="G381" s="47">
        <f t="shared" si="72"/>
        <v>1271</v>
      </c>
      <c r="H381" s="47">
        <f t="shared" si="72"/>
        <v>0</v>
      </c>
      <c r="I381" s="47">
        <f t="shared" si="72"/>
        <v>1271</v>
      </c>
      <c r="J381" s="47">
        <f t="shared" si="72"/>
        <v>82979.20950000001</v>
      </c>
      <c r="K381" s="47">
        <f t="shared" si="72"/>
        <v>0</v>
      </c>
      <c r="L381" s="6"/>
      <c r="M381" s="23"/>
    </row>
    <row r="382" spans="1:13" s="76" customFormat="1" ht="27" customHeight="1">
      <c r="A382" s="405"/>
      <c r="B382" s="462"/>
      <c r="C382" s="462"/>
      <c r="D382" s="7">
        <v>2021</v>
      </c>
      <c r="E382" s="47">
        <f aca="true" t="shared" si="73" ref="E382:K382">E358</f>
        <v>214797.228</v>
      </c>
      <c r="F382" s="47">
        <f t="shared" si="73"/>
        <v>143532.8</v>
      </c>
      <c r="G382" s="47">
        <f t="shared" si="73"/>
        <v>1271</v>
      </c>
      <c r="H382" s="47">
        <f t="shared" si="73"/>
        <v>0</v>
      </c>
      <c r="I382" s="47">
        <f t="shared" si="73"/>
        <v>1271</v>
      </c>
      <c r="J382" s="47">
        <f t="shared" si="73"/>
        <v>69993.428</v>
      </c>
      <c r="K382" s="47">
        <f t="shared" si="73"/>
        <v>0</v>
      </c>
      <c r="L382" s="6"/>
      <c r="M382" s="23"/>
    </row>
    <row r="383" spans="1:13" s="76" customFormat="1" ht="27" customHeight="1">
      <c r="A383" s="405"/>
      <c r="B383" s="462"/>
      <c r="C383" s="462"/>
      <c r="D383" s="7">
        <v>2022</v>
      </c>
      <c r="E383" s="47">
        <f aca="true" t="shared" si="74" ref="E383:K383">E368</f>
        <v>214038.92799999996</v>
      </c>
      <c r="F383" s="47">
        <f t="shared" si="74"/>
        <v>143532.8</v>
      </c>
      <c r="G383" s="47">
        <f t="shared" si="74"/>
        <v>1271</v>
      </c>
      <c r="H383" s="47">
        <f t="shared" si="74"/>
        <v>0</v>
      </c>
      <c r="I383" s="47">
        <f t="shared" si="74"/>
        <v>1271</v>
      </c>
      <c r="J383" s="47">
        <f t="shared" si="74"/>
        <v>69235.128</v>
      </c>
      <c r="K383" s="47">
        <f t="shared" si="74"/>
        <v>0</v>
      </c>
      <c r="L383" s="6"/>
      <c r="M383" s="23"/>
    </row>
    <row r="384" spans="1:13" s="76" customFormat="1" ht="27" customHeight="1">
      <c r="A384" s="444" t="s">
        <v>61</v>
      </c>
      <c r="B384" s="463"/>
      <c r="C384" s="463"/>
      <c r="D384" s="463"/>
      <c r="E384" s="463"/>
      <c r="F384" s="463"/>
      <c r="G384" s="463"/>
      <c r="H384" s="463"/>
      <c r="I384" s="463"/>
      <c r="J384" s="463"/>
      <c r="K384" s="463"/>
      <c r="L384" s="463"/>
      <c r="M384" s="464"/>
    </row>
    <row r="385" spans="1:13" s="76" customFormat="1" ht="27" customHeight="1">
      <c r="A385" s="445" t="s">
        <v>143</v>
      </c>
      <c r="B385" s="342"/>
      <c r="C385" s="342"/>
      <c r="D385" s="342"/>
      <c r="E385" s="342"/>
      <c r="F385" s="342"/>
      <c r="G385" s="342"/>
      <c r="H385" s="342"/>
      <c r="I385" s="342"/>
      <c r="J385" s="342"/>
      <c r="K385" s="342"/>
      <c r="L385" s="343"/>
      <c r="M385" s="23"/>
    </row>
    <row r="386" spans="1:13" s="76" customFormat="1" ht="29.25" customHeight="1">
      <c r="A386" s="465" t="s">
        <v>26</v>
      </c>
      <c r="B386" s="347"/>
      <c r="C386" s="347"/>
      <c r="D386" s="347"/>
      <c r="E386" s="347"/>
      <c r="F386" s="347"/>
      <c r="G386" s="347"/>
      <c r="H386" s="347"/>
      <c r="I386" s="347"/>
      <c r="J386" s="347"/>
      <c r="K386" s="347"/>
      <c r="L386" s="347"/>
      <c r="M386" s="348"/>
    </row>
    <row r="387" spans="1:13" s="76" customFormat="1" ht="24.75" customHeight="1">
      <c r="A387" s="349" t="s">
        <v>93</v>
      </c>
      <c r="B387" s="466" t="s">
        <v>144</v>
      </c>
      <c r="C387" s="467"/>
      <c r="D387" s="7">
        <v>2017</v>
      </c>
      <c r="E387" s="46">
        <f aca="true" t="shared" si="75" ref="E387:E392">F387+G387+J387+K387</f>
        <v>7260.311</v>
      </c>
      <c r="F387" s="9"/>
      <c r="G387" s="9">
        <f aca="true" t="shared" si="76" ref="G387:G392">H387+I387</f>
        <v>0</v>
      </c>
      <c r="H387" s="46">
        <v>0</v>
      </c>
      <c r="I387" s="46">
        <v>0</v>
      </c>
      <c r="J387" s="46">
        <v>7260.311</v>
      </c>
      <c r="K387" s="9">
        <v>0</v>
      </c>
      <c r="L387" s="3" t="s">
        <v>153</v>
      </c>
      <c r="M387" s="350" t="s">
        <v>70</v>
      </c>
    </row>
    <row r="388" spans="1:13" s="76" customFormat="1" ht="24.75" customHeight="1">
      <c r="A388" s="349"/>
      <c r="B388" s="468"/>
      <c r="C388" s="469"/>
      <c r="D388" s="7">
        <v>2018</v>
      </c>
      <c r="E388" s="46">
        <f t="shared" si="75"/>
        <v>8308.2425</v>
      </c>
      <c r="F388" s="9"/>
      <c r="G388" s="9">
        <f t="shared" si="76"/>
        <v>0</v>
      </c>
      <c r="H388" s="46">
        <v>0</v>
      </c>
      <c r="I388" s="46">
        <v>0</v>
      </c>
      <c r="J388" s="46">
        <f>8213.1695+95.073</f>
        <v>8308.2425</v>
      </c>
      <c r="K388" s="9">
        <v>0</v>
      </c>
      <c r="L388" s="3" t="s">
        <v>153</v>
      </c>
      <c r="M388" s="350"/>
    </row>
    <row r="389" spans="1:13" s="76" customFormat="1" ht="24.75" customHeight="1">
      <c r="A389" s="349"/>
      <c r="B389" s="468"/>
      <c r="C389" s="469"/>
      <c r="D389" s="7">
        <v>2019</v>
      </c>
      <c r="E389" s="46">
        <f t="shared" si="75"/>
        <v>8783.56033</v>
      </c>
      <c r="F389" s="9"/>
      <c r="G389" s="9">
        <f t="shared" si="76"/>
        <v>0</v>
      </c>
      <c r="H389" s="46">
        <v>0</v>
      </c>
      <c r="I389" s="46">
        <v>0</v>
      </c>
      <c r="J389" s="46">
        <f>8729.252+86.622-32.31367</f>
        <v>8783.56033</v>
      </c>
      <c r="K389" s="46">
        <v>0</v>
      </c>
      <c r="L389" s="3" t="s">
        <v>153</v>
      </c>
      <c r="M389" s="350"/>
    </row>
    <row r="390" spans="1:13" s="76" customFormat="1" ht="24.75" customHeight="1">
      <c r="A390" s="349"/>
      <c r="B390" s="468"/>
      <c r="C390" s="469"/>
      <c r="D390" s="7">
        <v>2020</v>
      </c>
      <c r="E390" s="46">
        <f t="shared" si="75"/>
        <v>8976.345</v>
      </c>
      <c r="F390" s="9"/>
      <c r="G390" s="9">
        <f t="shared" si="76"/>
        <v>0</v>
      </c>
      <c r="H390" s="46">
        <v>0</v>
      </c>
      <c r="I390" s="46">
        <v>0</v>
      </c>
      <c r="J390" s="46">
        <v>8976.345</v>
      </c>
      <c r="K390" s="9">
        <v>0</v>
      </c>
      <c r="L390" s="3" t="s">
        <v>153</v>
      </c>
      <c r="M390" s="350"/>
    </row>
    <row r="391" spans="1:13" s="76" customFormat="1" ht="24.75" customHeight="1">
      <c r="A391" s="349"/>
      <c r="B391" s="468"/>
      <c r="C391" s="469"/>
      <c r="D391" s="7">
        <v>2021</v>
      </c>
      <c r="E391" s="46">
        <f t="shared" si="75"/>
        <v>8976.443</v>
      </c>
      <c r="F391" s="9"/>
      <c r="G391" s="9">
        <f t="shared" si="76"/>
        <v>0</v>
      </c>
      <c r="H391" s="46">
        <v>0</v>
      </c>
      <c r="I391" s="46">
        <v>0</v>
      </c>
      <c r="J391" s="46">
        <v>8976.443</v>
      </c>
      <c r="K391" s="9">
        <v>0</v>
      </c>
      <c r="L391" s="3" t="s">
        <v>153</v>
      </c>
      <c r="M391" s="350"/>
    </row>
    <row r="392" spans="1:13" s="76" customFormat="1" ht="24.75" customHeight="1">
      <c r="A392" s="349"/>
      <c r="B392" s="470"/>
      <c r="C392" s="471"/>
      <c r="D392" s="7">
        <v>2022</v>
      </c>
      <c r="E392" s="46">
        <f t="shared" si="75"/>
        <v>8976.443</v>
      </c>
      <c r="F392" s="9"/>
      <c r="G392" s="9">
        <f t="shared" si="76"/>
        <v>0</v>
      </c>
      <c r="H392" s="46">
        <v>0</v>
      </c>
      <c r="I392" s="46">
        <v>0</v>
      </c>
      <c r="J392" s="46">
        <v>8976.443</v>
      </c>
      <c r="K392" s="9">
        <v>0</v>
      </c>
      <c r="L392" s="3" t="s">
        <v>153</v>
      </c>
      <c r="M392" s="350"/>
    </row>
    <row r="393" spans="1:13" s="76" customFormat="1" ht="27" customHeight="1">
      <c r="A393" s="472" t="s">
        <v>22</v>
      </c>
      <c r="B393" s="463"/>
      <c r="C393" s="463"/>
      <c r="D393" s="463"/>
      <c r="E393" s="463"/>
      <c r="F393" s="463"/>
      <c r="G393" s="463"/>
      <c r="H393" s="463"/>
      <c r="I393" s="463"/>
      <c r="J393" s="463"/>
      <c r="K393" s="463"/>
      <c r="L393" s="463"/>
      <c r="M393" s="464"/>
    </row>
    <row r="394" spans="1:13" s="76" customFormat="1" ht="27" customHeight="1">
      <c r="A394" s="473" t="s">
        <v>27</v>
      </c>
      <c r="B394" s="342"/>
      <c r="C394" s="342"/>
      <c r="D394" s="342"/>
      <c r="E394" s="342"/>
      <c r="F394" s="342"/>
      <c r="G394" s="342"/>
      <c r="H394" s="342"/>
      <c r="I394" s="342"/>
      <c r="J394" s="342"/>
      <c r="K394" s="342"/>
      <c r="L394" s="342"/>
      <c r="M394" s="343"/>
    </row>
    <row r="395" spans="1:13" s="76" customFormat="1" ht="27" customHeight="1">
      <c r="A395" s="474" t="s">
        <v>28</v>
      </c>
      <c r="B395" s="342"/>
      <c r="C395" s="342"/>
      <c r="D395" s="342"/>
      <c r="E395" s="342"/>
      <c r="F395" s="342"/>
      <c r="G395" s="342"/>
      <c r="H395" s="342"/>
      <c r="I395" s="342"/>
      <c r="J395" s="342"/>
      <c r="K395" s="342"/>
      <c r="L395" s="342"/>
      <c r="M395" s="343"/>
    </row>
    <row r="396" spans="1:13" s="76" customFormat="1" ht="24.75" customHeight="1">
      <c r="A396" s="349" t="s">
        <v>94</v>
      </c>
      <c r="B396" s="475" t="s">
        <v>145</v>
      </c>
      <c r="C396" s="475"/>
      <c r="D396" s="7">
        <v>2017</v>
      </c>
      <c r="E396" s="2">
        <f aca="true" t="shared" si="77" ref="E396:E414">F396+G396+J396+K396</f>
        <v>292.4</v>
      </c>
      <c r="F396" s="2">
        <v>292.4</v>
      </c>
      <c r="G396" s="2">
        <f>H396+I396</f>
        <v>0</v>
      </c>
      <c r="H396" s="2"/>
      <c r="I396" s="2">
        <v>0</v>
      </c>
      <c r="J396" s="22">
        <v>0</v>
      </c>
      <c r="K396" s="22">
        <v>0</v>
      </c>
      <c r="L396" s="3" t="s">
        <v>3</v>
      </c>
      <c r="M396" s="350" t="s">
        <v>62</v>
      </c>
    </row>
    <row r="397" spans="1:13" s="76" customFormat="1" ht="24.75" customHeight="1">
      <c r="A397" s="349"/>
      <c r="B397" s="475"/>
      <c r="C397" s="475"/>
      <c r="D397" s="7">
        <v>2018</v>
      </c>
      <c r="E397" s="2">
        <f t="shared" si="77"/>
        <v>233.2</v>
      </c>
      <c r="F397" s="2">
        <v>233.2</v>
      </c>
      <c r="G397" s="2">
        <f aca="true" t="shared" si="78" ref="G397:G413">H397+I397</f>
        <v>0</v>
      </c>
      <c r="H397" s="2"/>
      <c r="I397" s="2">
        <v>0</v>
      </c>
      <c r="J397" s="22">
        <v>0</v>
      </c>
      <c r="K397" s="22">
        <v>0</v>
      </c>
      <c r="L397" s="3" t="s">
        <v>3</v>
      </c>
      <c r="M397" s="476"/>
    </row>
    <row r="398" spans="1:13" s="76" customFormat="1" ht="24.75" customHeight="1">
      <c r="A398" s="349"/>
      <c r="B398" s="475"/>
      <c r="C398" s="475"/>
      <c r="D398" s="7">
        <v>2019</v>
      </c>
      <c r="E398" s="2">
        <f t="shared" si="77"/>
        <v>281.9</v>
      </c>
      <c r="F398" s="2">
        <v>281.9</v>
      </c>
      <c r="G398" s="2">
        <f t="shared" si="78"/>
        <v>0</v>
      </c>
      <c r="H398" s="2"/>
      <c r="I398" s="2">
        <v>0</v>
      </c>
      <c r="J398" s="22">
        <v>0</v>
      </c>
      <c r="K398" s="22">
        <v>0</v>
      </c>
      <c r="L398" s="3" t="s">
        <v>3</v>
      </c>
      <c r="M398" s="476"/>
    </row>
    <row r="399" spans="1:13" s="76" customFormat="1" ht="24.75" customHeight="1">
      <c r="A399" s="349"/>
      <c r="B399" s="475"/>
      <c r="C399" s="475"/>
      <c r="D399" s="7">
        <v>2020</v>
      </c>
      <c r="E399" s="2">
        <f>F399+G399+J399+K399</f>
        <v>216.2</v>
      </c>
      <c r="F399" s="2">
        <v>216.2</v>
      </c>
      <c r="G399" s="2">
        <f>H399+I399</f>
        <v>0</v>
      </c>
      <c r="H399" s="2"/>
      <c r="I399" s="2">
        <v>0</v>
      </c>
      <c r="J399" s="22">
        <v>0</v>
      </c>
      <c r="K399" s="22">
        <v>0</v>
      </c>
      <c r="L399" s="3" t="s">
        <v>3</v>
      </c>
      <c r="M399" s="476"/>
    </row>
    <row r="400" spans="1:13" s="76" customFormat="1" ht="24.75" customHeight="1">
      <c r="A400" s="349"/>
      <c r="B400" s="475"/>
      <c r="C400" s="475"/>
      <c r="D400" s="7">
        <v>2021</v>
      </c>
      <c r="E400" s="2">
        <f>F400+G400+J400+K400</f>
        <v>216.6</v>
      </c>
      <c r="F400" s="2">
        <v>216.6</v>
      </c>
      <c r="G400" s="2">
        <f>H400+I400</f>
        <v>0</v>
      </c>
      <c r="H400" s="2"/>
      <c r="I400" s="2">
        <v>0</v>
      </c>
      <c r="J400" s="22">
        <v>0</v>
      </c>
      <c r="K400" s="22">
        <v>0</v>
      </c>
      <c r="L400" s="3" t="s">
        <v>3</v>
      </c>
      <c r="M400" s="476"/>
    </row>
    <row r="401" spans="1:13" s="76" customFormat="1" ht="24.75" customHeight="1">
      <c r="A401" s="349"/>
      <c r="B401" s="475"/>
      <c r="C401" s="475"/>
      <c r="D401" s="7">
        <v>2022</v>
      </c>
      <c r="E401" s="2">
        <f t="shared" si="77"/>
        <v>216.6</v>
      </c>
      <c r="F401" s="2">
        <v>216.6</v>
      </c>
      <c r="G401" s="2">
        <f t="shared" si="78"/>
        <v>0</v>
      </c>
      <c r="H401" s="2"/>
      <c r="I401" s="2">
        <v>0</v>
      </c>
      <c r="J401" s="22">
        <v>0</v>
      </c>
      <c r="K401" s="22">
        <v>0</v>
      </c>
      <c r="L401" s="3" t="s">
        <v>3</v>
      </c>
      <c r="M401" s="476"/>
    </row>
    <row r="402" spans="1:13" s="76" customFormat="1" ht="24.75" customHeight="1">
      <c r="A402" s="349" t="s">
        <v>95</v>
      </c>
      <c r="B402" s="350" t="s">
        <v>146</v>
      </c>
      <c r="C402" s="350"/>
      <c r="D402" s="7">
        <v>2017</v>
      </c>
      <c r="E402" s="2">
        <f t="shared" si="77"/>
        <v>96.8</v>
      </c>
      <c r="F402" s="2">
        <v>0</v>
      </c>
      <c r="G402" s="2">
        <f t="shared" si="78"/>
        <v>96.8</v>
      </c>
      <c r="H402" s="2"/>
      <c r="I402" s="2">
        <v>96.8</v>
      </c>
      <c r="J402" s="22">
        <v>0</v>
      </c>
      <c r="K402" s="22">
        <v>0</v>
      </c>
      <c r="L402" s="3" t="s">
        <v>3</v>
      </c>
      <c r="M402" s="350" t="s">
        <v>63</v>
      </c>
    </row>
    <row r="403" spans="1:13" s="76" customFormat="1" ht="24.75" customHeight="1">
      <c r="A403" s="349"/>
      <c r="B403" s="350"/>
      <c r="C403" s="350"/>
      <c r="D403" s="7">
        <v>2018</v>
      </c>
      <c r="E403" s="2">
        <f t="shared" si="77"/>
        <v>127.3</v>
      </c>
      <c r="F403" s="2">
        <v>0</v>
      </c>
      <c r="G403" s="2">
        <f t="shared" si="78"/>
        <v>127.3</v>
      </c>
      <c r="H403" s="2"/>
      <c r="I403" s="2">
        <v>127.3</v>
      </c>
      <c r="J403" s="22">
        <v>0</v>
      </c>
      <c r="K403" s="22">
        <v>0</v>
      </c>
      <c r="L403" s="3" t="s">
        <v>3</v>
      </c>
      <c r="M403" s="350"/>
    </row>
    <row r="404" spans="1:13" s="76" customFormat="1" ht="24.75" customHeight="1">
      <c r="A404" s="349"/>
      <c r="B404" s="350"/>
      <c r="C404" s="350"/>
      <c r="D404" s="7">
        <v>2019</v>
      </c>
      <c r="E404" s="2">
        <f t="shared" si="77"/>
        <v>132.7</v>
      </c>
      <c r="F404" s="2">
        <v>0</v>
      </c>
      <c r="G404" s="2">
        <f t="shared" si="78"/>
        <v>132.7</v>
      </c>
      <c r="H404" s="2"/>
      <c r="I404" s="2">
        <v>132.7</v>
      </c>
      <c r="J404" s="22">
        <v>0</v>
      </c>
      <c r="K404" s="22">
        <v>0</v>
      </c>
      <c r="L404" s="3" t="s">
        <v>3</v>
      </c>
      <c r="M404" s="350"/>
    </row>
    <row r="405" spans="1:13" s="76" customFormat="1" ht="24.75" customHeight="1">
      <c r="A405" s="349"/>
      <c r="B405" s="350"/>
      <c r="C405" s="350"/>
      <c r="D405" s="7">
        <v>2020</v>
      </c>
      <c r="E405" s="2">
        <f>F405+G405+J405+K405</f>
        <v>134.4</v>
      </c>
      <c r="F405" s="2">
        <v>134.4</v>
      </c>
      <c r="G405" s="2">
        <f>H405+I405</f>
        <v>0</v>
      </c>
      <c r="H405" s="2"/>
      <c r="I405" s="2">
        <v>0</v>
      </c>
      <c r="J405" s="22">
        <v>0</v>
      </c>
      <c r="K405" s="22">
        <v>0</v>
      </c>
      <c r="L405" s="3" t="s">
        <v>3</v>
      </c>
      <c r="M405" s="350"/>
    </row>
    <row r="406" spans="1:13" s="76" customFormat="1" ht="24.75" customHeight="1">
      <c r="A406" s="349"/>
      <c r="B406" s="350"/>
      <c r="C406" s="350"/>
      <c r="D406" s="7">
        <v>2021</v>
      </c>
      <c r="E406" s="2">
        <f>F406+G406+J406+K406</f>
        <v>134.7</v>
      </c>
      <c r="F406" s="2">
        <v>134.7</v>
      </c>
      <c r="G406" s="2">
        <f>H406+I406</f>
        <v>0</v>
      </c>
      <c r="H406" s="2"/>
      <c r="I406" s="2">
        <v>0</v>
      </c>
      <c r="J406" s="22">
        <v>0</v>
      </c>
      <c r="K406" s="22">
        <v>0</v>
      </c>
      <c r="L406" s="3" t="s">
        <v>3</v>
      </c>
      <c r="M406" s="350"/>
    </row>
    <row r="407" spans="1:13" s="76" customFormat="1" ht="24.75" customHeight="1">
      <c r="A407" s="349"/>
      <c r="B407" s="350"/>
      <c r="C407" s="350"/>
      <c r="D407" s="7">
        <v>2022</v>
      </c>
      <c r="E407" s="2">
        <f t="shared" si="77"/>
        <v>134.7</v>
      </c>
      <c r="F407" s="2">
        <v>134.7</v>
      </c>
      <c r="G407" s="2">
        <f t="shared" si="78"/>
        <v>0</v>
      </c>
      <c r="H407" s="2"/>
      <c r="I407" s="2">
        <v>0</v>
      </c>
      <c r="J407" s="22">
        <v>0</v>
      </c>
      <c r="K407" s="22">
        <v>0</v>
      </c>
      <c r="L407" s="3" t="s">
        <v>3</v>
      </c>
      <c r="M407" s="350"/>
    </row>
    <row r="408" spans="1:13" s="76" customFormat="1" ht="24.75" customHeight="1">
      <c r="A408" s="349" t="s">
        <v>96</v>
      </c>
      <c r="B408" s="350" t="s">
        <v>147</v>
      </c>
      <c r="C408" s="350"/>
      <c r="D408" s="7">
        <v>2017</v>
      </c>
      <c r="E408" s="2">
        <f t="shared" si="77"/>
        <v>5391.1</v>
      </c>
      <c r="F408" s="2">
        <v>5391.1</v>
      </c>
      <c r="G408" s="2">
        <f t="shared" si="78"/>
        <v>0</v>
      </c>
      <c r="H408" s="2"/>
      <c r="I408" s="2">
        <v>0</v>
      </c>
      <c r="J408" s="22">
        <v>0</v>
      </c>
      <c r="K408" s="22">
        <v>0</v>
      </c>
      <c r="L408" s="3" t="s">
        <v>3</v>
      </c>
      <c r="M408" s="350" t="s">
        <v>64</v>
      </c>
    </row>
    <row r="409" spans="1:13" s="76" customFormat="1" ht="24.75" customHeight="1">
      <c r="A409" s="349"/>
      <c r="B409" s="350"/>
      <c r="C409" s="350"/>
      <c r="D409" s="7">
        <v>2018</v>
      </c>
      <c r="E409" s="2">
        <f t="shared" si="77"/>
        <v>5870.4</v>
      </c>
      <c r="F409" s="2">
        <v>5870.4</v>
      </c>
      <c r="G409" s="2">
        <f t="shared" si="78"/>
        <v>0</v>
      </c>
      <c r="H409" s="2"/>
      <c r="I409" s="2">
        <v>0</v>
      </c>
      <c r="J409" s="22">
        <v>0</v>
      </c>
      <c r="K409" s="22">
        <v>0</v>
      </c>
      <c r="L409" s="3" t="s">
        <v>3</v>
      </c>
      <c r="M409" s="350"/>
    </row>
    <row r="410" spans="1:13" s="76" customFormat="1" ht="24.75" customHeight="1">
      <c r="A410" s="349"/>
      <c r="B410" s="350"/>
      <c r="C410" s="350"/>
      <c r="D410" s="7">
        <v>2019</v>
      </c>
      <c r="E410" s="2">
        <f t="shared" si="77"/>
        <v>6295.7</v>
      </c>
      <c r="F410" s="2">
        <f>5735.3+560.4</f>
        <v>6295.7</v>
      </c>
      <c r="G410" s="2">
        <f t="shared" si="78"/>
        <v>0</v>
      </c>
      <c r="H410" s="2"/>
      <c r="I410" s="2">
        <v>0</v>
      </c>
      <c r="J410" s="22">
        <v>0</v>
      </c>
      <c r="K410" s="22">
        <v>0</v>
      </c>
      <c r="L410" s="3" t="s">
        <v>3</v>
      </c>
      <c r="M410" s="350"/>
    </row>
    <row r="411" spans="1:13" s="76" customFormat="1" ht="24.75" customHeight="1">
      <c r="A411" s="349"/>
      <c r="B411" s="350"/>
      <c r="C411" s="350"/>
      <c r="D411" s="7">
        <v>2020</v>
      </c>
      <c r="E411" s="2">
        <f>F411+G411+J411+K411</f>
        <v>6203.9</v>
      </c>
      <c r="F411" s="2">
        <v>6203.9</v>
      </c>
      <c r="G411" s="2">
        <f>H411+I411</f>
        <v>0</v>
      </c>
      <c r="H411" s="2"/>
      <c r="I411" s="2">
        <v>0</v>
      </c>
      <c r="J411" s="22">
        <v>0</v>
      </c>
      <c r="K411" s="22">
        <v>0</v>
      </c>
      <c r="L411" s="3" t="s">
        <v>3</v>
      </c>
      <c r="M411" s="350"/>
    </row>
    <row r="412" spans="1:13" s="76" customFormat="1" ht="24.75" customHeight="1">
      <c r="A412" s="351"/>
      <c r="B412" s="477"/>
      <c r="C412" s="477"/>
      <c r="D412" s="56">
        <v>2021</v>
      </c>
      <c r="E412" s="57">
        <f>F412+G412+J412+K412</f>
        <v>6216.1</v>
      </c>
      <c r="F412" s="57">
        <v>6216.1</v>
      </c>
      <c r="G412" s="57">
        <f>H412+I412</f>
        <v>0</v>
      </c>
      <c r="H412" s="57"/>
      <c r="I412" s="57">
        <v>0</v>
      </c>
      <c r="J412" s="58">
        <v>0</v>
      </c>
      <c r="K412" s="58">
        <v>0</v>
      </c>
      <c r="L412" s="59" t="s">
        <v>3</v>
      </c>
      <c r="M412" s="477"/>
    </row>
    <row r="413" spans="1:13" s="76" customFormat="1" ht="24.75" customHeight="1" thickBot="1">
      <c r="A413" s="351"/>
      <c r="B413" s="477"/>
      <c r="C413" s="477"/>
      <c r="D413" s="56">
        <v>2022</v>
      </c>
      <c r="E413" s="57">
        <f t="shared" si="77"/>
        <v>6216.1</v>
      </c>
      <c r="F413" s="57">
        <v>6216.1</v>
      </c>
      <c r="G413" s="57">
        <f t="shared" si="78"/>
        <v>0</v>
      </c>
      <c r="H413" s="57"/>
      <c r="I413" s="57">
        <v>0</v>
      </c>
      <c r="J413" s="58">
        <v>0</v>
      </c>
      <c r="K413" s="58">
        <v>0</v>
      </c>
      <c r="L413" s="59" t="s">
        <v>3</v>
      </c>
      <c r="M413" s="477"/>
    </row>
    <row r="414" spans="1:13" s="76" customFormat="1" ht="30.75" customHeight="1">
      <c r="A414" s="478"/>
      <c r="B414" s="482" t="s">
        <v>37</v>
      </c>
      <c r="C414" s="482"/>
      <c r="D414" s="60">
        <v>2017</v>
      </c>
      <c r="E414" s="61">
        <f t="shared" si="77"/>
        <v>5780.3</v>
      </c>
      <c r="F414" s="61">
        <f aca="true" t="shared" si="79" ref="F414:H416">F396+F402+F408</f>
        <v>5683.5</v>
      </c>
      <c r="G414" s="61">
        <f>H414+I414</f>
        <v>96.8</v>
      </c>
      <c r="H414" s="61">
        <f aca="true" t="shared" si="80" ref="H414:K418">H396+H402+H408</f>
        <v>0</v>
      </c>
      <c r="I414" s="61">
        <f t="shared" si="80"/>
        <v>96.8</v>
      </c>
      <c r="J414" s="61">
        <v>0</v>
      </c>
      <c r="K414" s="61">
        <v>0</v>
      </c>
      <c r="L414" s="62"/>
      <c r="M414" s="63"/>
    </row>
    <row r="415" spans="1:13" s="76" customFormat="1" ht="30.75" customHeight="1">
      <c r="A415" s="479"/>
      <c r="B415" s="483"/>
      <c r="C415" s="483"/>
      <c r="D415" s="7">
        <v>2018</v>
      </c>
      <c r="E415" s="10">
        <f>F415+G415+J415+K415</f>
        <v>6230.9</v>
      </c>
      <c r="F415" s="10">
        <f t="shared" si="79"/>
        <v>6103.599999999999</v>
      </c>
      <c r="G415" s="10">
        <f>H415+I415</f>
        <v>127.3</v>
      </c>
      <c r="H415" s="10">
        <f t="shared" si="80"/>
        <v>0</v>
      </c>
      <c r="I415" s="10">
        <f t="shared" si="80"/>
        <v>127.3</v>
      </c>
      <c r="J415" s="10">
        <v>0</v>
      </c>
      <c r="K415" s="10">
        <v>0</v>
      </c>
      <c r="L415" s="3"/>
      <c r="M415" s="64"/>
    </row>
    <row r="416" spans="1:13" s="76" customFormat="1" ht="30.75" customHeight="1">
      <c r="A416" s="479"/>
      <c r="B416" s="483"/>
      <c r="C416" s="483"/>
      <c r="D416" s="7">
        <v>2019</v>
      </c>
      <c r="E416" s="10">
        <f aca="true" t="shared" si="81" ref="E416:K419">E398+E404+E410</f>
        <v>6710.3</v>
      </c>
      <c r="F416" s="10">
        <f t="shared" si="79"/>
        <v>6577.599999999999</v>
      </c>
      <c r="G416" s="10">
        <f t="shared" si="79"/>
        <v>132.7</v>
      </c>
      <c r="H416" s="10">
        <f t="shared" si="79"/>
        <v>0</v>
      </c>
      <c r="I416" s="10">
        <f>I398+I404+I410</f>
        <v>132.7</v>
      </c>
      <c r="J416" s="10">
        <f>J398+J404+J410</f>
        <v>0</v>
      </c>
      <c r="K416" s="10">
        <f>K398+K404+K410</f>
        <v>0</v>
      </c>
      <c r="L416" s="3"/>
      <c r="M416" s="64"/>
    </row>
    <row r="417" spans="1:13" s="76" customFormat="1" ht="30.75" customHeight="1">
      <c r="A417" s="479"/>
      <c r="B417" s="483"/>
      <c r="C417" s="483"/>
      <c r="D417" s="7">
        <v>2020</v>
      </c>
      <c r="E417" s="10">
        <f t="shared" si="81"/>
        <v>6554.5</v>
      </c>
      <c r="F417" s="10">
        <f t="shared" si="81"/>
        <v>6554.5</v>
      </c>
      <c r="G417" s="10">
        <f t="shared" si="81"/>
        <v>0</v>
      </c>
      <c r="H417" s="10">
        <f t="shared" si="81"/>
        <v>0</v>
      </c>
      <c r="I417" s="10">
        <f t="shared" si="80"/>
        <v>0</v>
      </c>
      <c r="J417" s="10">
        <f t="shared" si="80"/>
        <v>0</v>
      </c>
      <c r="K417" s="10">
        <f t="shared" si="80"/>
        <v>0</v>
      </c>
      <c r="L417" s="3"/>
      <c r="M417" s="64"/>
    </row>
    <row r="418" spans="1:13" s="76" customFormat="1" ht="30.75" customHeight="1" thickBot="1">
      <c r="A418" s="480"/>
      <c r="B418" s="484"/>
      <c r="C418" s="484"/>
      <c r="D418" s="65">
        <v>2021</v>
      </c>
      <c r="E418" s="66">
        <f t="shared" si="81"/>
        <v>6567.400000000001</v>
      </c>
      <c r="F418" s="66">
        <f t="shared" si="81"/>
        <v>6567.400000000001</v>
      </c>
      <c r="G418" s="66">
        <f t="shared" si="81"/>
        <v>0</v>
      </c>
      <c r="H418" s="66">
        <f t="shared" si="81"/>
        <v>0</v>
      </c>
      <c r="I418" s="66">
        <f t="shared" si="80"/>
        <v>0</v>
      </c>
      <c r="J418" s="66">
        <f t="shared" si="80"/>
        <v>0</v>
      </c>
      <c r="K418" s="66">
        <f t="shared" si="80"/>
        <v>0</v>
      </c>
      <c r="L418" s="59"/>
      <c r="M418" s="110"/>
    </row>
    <row r="419" spans="1:13" s="76" customFormat="1" ht="30.75" customHeight="1" thickBot="1">
      <c r="A419" s="481"/>
      <c r="B419" s="485"/>
      <c r="C419" s="485"/>
      <c r="D419" s="65">
        <v>2022</v>
      </c>
      <c r="E419" s="66">
        <f t="shared" si="81"/>
        <v>6567.400000000001</v>
      </c>
      <c r="F419" s="66">
        <f t="shared" si="81"/>
        <v>6567.400000000001</v>
      </c>
      <c r="G419" s="66">
        <f t="shared" si="81"/>
        <v>0</v>
      </c>
      <c r="H419" s="66">
        <f t="shared" si="81"/>
        <v>0</v>
      </c>
      <c r="I419" s="66">
        <f t="shared" si="81"/>
        <v>0</v>
      </c>
      <c r="J419" s="66">
        <f t="shared" si="81"/>
        <v>0</v>
      </c>
      <c r="K419" s="66">
        <f t="shared" si="81"/>
        <v>0</v>
      </c>
      <c r="L419" s="67"/>
      <c r="M419" s="68"/>
    </row>
    <row r="420" spans="1:13" s="76" customFormat="1" ht="30.75" customHeight="1" thickBot="1">
      <c r="A420" s="105"/>
      <c r="B420" s="486"/>
      <c r="C420" s="487"/>
      <c r="D420" s="89"/>
      <c r="E420" s="12"/>
      <c r="F420" s="12"/>
      <c r="G420" s="24"/>
      <c r="H420" s="12"/>
      <c r="I420" s="12"/>
      <c r="J420" s="12"/>
      <c r="K420" s="40"/>
      <c r="L420" s="3"/>
      <c r="M420" s="242"/>
    </row>
    <row r="421" spans="1:13" s="76" customFormat="1" ht="37.5" customHeight="1">
      <c r="A421" s="405"/>
      <c r="B421" s="488" t="s">
        <v>31</v>
      </c>
      <c r="C421" s="489"/>
      <c r="D421" s="80" t="s">
        <v>117</v>
      </c>
      <c r="E421" s="69">
        <f aca="true" t="shared" si="82" ref="E421:K421">SUM(E422:E427)</f>
        <v>1578383.0179599999</v>
      </c>
      <c r="F421" s="69">
        <f t="shared" si="82"/>
        <v>887220.0999999999</v>
      </c>
      <c r="G421" s="69">
        <f t="shared" si="82"/>
        <v>18707.034</v>
      </c>
      <c r="H421" s="69">
        <f t="shared" si="82"/>
        <v>8703.1</v>
      </c>
      <c r="I421" s="69">
        <f t="shared" si="82"/>
        <v>10003.934000000001</v>
      </c>
      <c r="J421" s="69">
        <f>SUM(J422:J427)</f>
        <v>672455.8839600001</v>
      </c>
      <c r="K421" s="69">
        <f t="shared" si="82"/>
        <v>0</v>
      </c>
      <c r="L421" s="90"/>
      <c r="M421" s="79"/>
    </row>
    <row r="422" spans="1:13" s="76" customFormat="1" ht="33" customHeight="1">
      <c r="A422" s="405"/>
      <c r="B422" s="490"/>
      <c r="C422" s="491"/>
      <c r="D422" s="7">
        <v>2017</v>
      </c>
      <c r="E422" s="10">
        <f>F422+G422+J422+K422</f>
        <v>259771.653</v>
      </c>
      <c r="F422" s="10">
        <f aca="true" t="shared" si="83" ref="F422:K422">F187+F304+F378+F387+F414</f>
        <v>130298.7</v>
      </c>
      <c r="G422" s="10">
        <f t="shared" si="83"/>
        <v>1029</v>
      </c>
      <c r="H422" s="10">
        <f t="shared" si="83"/>
        <v>0</v>
      </c>
      <c r="I422" s="10">
        <f t="shared" si="83"/>
        <v>1029</v>
      </c>
      <c r="J422" s="10">
        <f t="shared" si="83"/>
        <v>128443.953</v>
      </c>
      <c r="K422" s="10">
        <f t="shared" si="83"/>
        <v>0</v>
      </c>
      <c r="L422" s="49"/>
      <c r="M422" s="23"/>
    </row>
    <row r="423" spans="1:13" s="76" customFormat="1" ht="30.75" customHeight="1">
      <c r="A423" s="405"/>
      <c r="B423" s="490"/>
      <c r="C423" s="491"/>
      <c r="D423" s="7">
        <v>2018</v>
      </c>
      <c r="E423" s="10">
        <f>F423+G423+J423+K423</f>
        <v>256780.11129000003</v>
      </c>
      <c r="F423" s="10">
        <f aca="true" t="shared" si="84" ref="F423:H425">F188+F305+F379+F388+F415</f>
        <v>143448.1</v>
      </c>
      <c r="G423" s="10">
        <f t="shared" si="84"/>
        <v>1296.482</v>
      </c>
      <c r="H423" s="10">
        <f t="shared" si="84"/>
        <v>0</v>
      </c>
      <c r="I423" s="10">
        <f>I415+I388+I379+I305+I188</f>
        <v>1296.4820000000002</v>
      </c>
      <c r="J423" s="10">
        <f>J415+J388+J379+J305+J188</f>
        <v>112035.52929000002</v>
      </c>
      <c r="K423" s="10">
        <f>K188+K305+K379+K388+K415</f>
        <v>0</v>
      </c>
      <c r="L423" s="49"/>
      <c r="M423" s="23"/>
    </row>
    <row r="424" spans="1:13" s="76" customFormat="1" ht="30.75" customHeight="1">
      <c r="A424" s="405"/>
      <c r="B424" s="490"/>
      <c r="C424" s="491"/>
      <c r="D424" s="7">
        <v>2019</v>
      </c>
      <c r="E424" s="244">
        <f>E189+E306+E380+E389+E416</f>
        <v>274699.70717</v>
      </c>
      <c r="F424" s="10">
        <f t="shared" si="84"/>
        <v>157111.4</v>
      </c>
      <c r="G424" s="10">
        <f t="shared" si="84"/>
        <v>3375.852</v>
      </c>
      <c r="H424" s="10">
        <f t="shared" si="84"/>
        <v>0</v>
      </c>
      <c r="I424" s="10">
        <f aca="true" t="shared" si="85" ref="I424:J427">I189+I306+I380+I389+I416</f>
        <v>3375.852</v>
      </c>
      <c r="J424" s="244">
        <f t="shared" si="85"/>
        <v>114212.45517000003</v>
      </c>
      <c r="K424" s="10">
        <f>K189+K306+K380+K389+K416</f>
        <v>0</v>
      </c>
      <c r="L424" s="49"/>
      <c r="M424" s="23"/>
    </row>
    <row r="425" spans="1:13" s="76" customFormat="1" ht="30.75" customHeight="1">
      <c r="A425" s="405"/>
      <c r="B425" s="490"/>
      <c r="C425" s="491"/>
      <c r="D425" s="7">
        <v>2020</v>
      </c>
      <c r="E425" s="244">
        <f>E190+E307+E381+E390+E417</f>
        <v>273896.55549999996</v>
      </c>
      <c r="F425" s="244">
        <f t="shared" si="84"/>
        <v>156161.5</v>
      </c>
      <c r="G425" s="244">
        <f t="shared" si="84"/>
        <v>2551.2</v>
      </c>
      <c r="H425" s="244">
        <f t="shared" si="84"/>
        <v>1117</v>
      </c>
      <c r="I425" s="244">
        <f t="shared" si="85"/>
        <v>1434.2</v>
      </c>
      <c r="J425" s="244">
        <f t="shared" si="85"/>
        <v>115183.8555</v>
      </c>
      <c r="K425" s="244">
        <f>K190+K307+K381+K390+K417</f>
        <v>0</v>
      </c>
      <c r="L425" s="49"/>
      <c r="M425" s="23"/>
    </row>
    <row r="426" spans="1:13" s="76" customFormat="1" ht="30.75" customHeight="1">
      <c r="A426" s="405"/>
      <c r="B426" s="490"/>
      <c r="C426" s="491"/>
      <c r="D426" s="7">
        <v>2021</v>
      </c>
      <c r="E426" s="244">
        <f>F426+G426+J426+K426</f>
        <v>260821.89899999998</v>
      </c>
      <c r="F426" s="244">
        <f>F191+F308+F382+F391+F418</f>
        <v>150100.19999999998</v>
      </c>
      <c r="G426" s="244">
        <f>H426+I426</f>
        <v>8070.3</v>
      </c>
      <c r="H426" s="244">
        <f>H191+H308+H382+H391+H418</f>
        <v>6636.1</v>
      </c>
      <c r="I426" s="244">
        <f t="shared" si="85"/>
        <v>1434.2</v>
      </c>
      <c r="J426" s="244">
        <f t="shared" si="85"/>
        <v>102651.399</v>
      </c>
      <c r="K426" s="244">
        <f>K191+K308+K382+K391+K418</f>
        <v>0</v>
      </c>
      <c r="L426" s="49"/>
      <c r="M426" s="23"/>
    </row>
    <row r="427" spans="1:13" s="76" customFormat="1" ht="27" customHeight="1">
      <c r="A427" s="405"/>
      <c r="B427" s="492"/>
      <c r="C427" s="493"/>
      <c r="D427" s="7">
        <v>2022</v>
      </c>
      <c r="E427" s="244">
        <f>F427+G427+J427+K427</f>
        <v>252413.092</v>
      </c>
      <c r="F427" s="244">
        <f>F192+F309+F383+F392+F419</f>
        <v>150100.19999999998</v>
      </c>
      <c r="G427" s="244">
        <f>H427+I427</f>
        <v>2384.2</v>
      </c>
      <c r="H427" s="244">
        <f>H192+H309+H383+H392+H419</f>
        <v>950</v>
      </c>
      <c r="I427" s="244">
        <f t="shared" si="85"/>
        <v>1434.2</v>
      </c>
      <c r="J427" s="244">
        <f t="shared" si="85"/>
        <v>99928.692</v>
      </c>
      <c r="K427" s="244">
        <f>K192+K309+K383+K392+K419</f>
        <v>0</v>
      </c>
      <c r="L427" s="49"/>
      <c r="M427" s="23"/>
    </row>
    <row r="428" spans="2:11" ht="25.5" customHeight="1" hidden="1">
      <c r="B428" s="494"/>
      <c r="C428" s="495"/>
      <c r="D428" s="225"/>
      <c r="E428" s="226"/>
      <c r="F428" s="227"/>
      <c r="G428" s="227"/>
      <c r="H428" s="77"/>
      <c r="I428" s="78"/>
      <c r="J428" s="77"/>
      <c r="K428" s="77"/>
    </row>
    <row r="429" spans="2:11" ht="25.5" customHeight="1" hidden="1">
      <c r="B429" s="496"/>
      <c r="C429" s="497"/>
      <c r="D429" s="225"/>
      <c r="E429" s="226"/>
      <c r="F429" s="228"/>
      <c r="G429" s="228"/>
      <c r="H429" s="78"/>
      <c r="I429" s="229"/>
      <c r="J429" s="78" t="s">
        <v>17</v>
      </c>
      <c r="K429" s="78"/>
    </row>
    <row r="430" spans="2:11" ht="15.75" customHeight="1" hidden="1">
      <c r="B430" s="496"/>
      <c r="C430" s="497"/>
      <c r="D430" s="225"/>
      <c r="E430" s="226"/>
      <c r="F430" s="228"/>
      <c r="G430" s="228"/>
      <c r="H430" s="78"/>
      <c r="I430" s="78"/>
      <c r="J430" s="78"/>
      <c r="K430" s="78"/>
    </row>
    <row r="431" spans="2:11" ht="24.75" customHeight="1" hidden="1">
      <c r="B431" s="496"/>
      <c r="C431" s="497"/>
      <c r="D431" s="225"/>
      <c r="E431" s="226"/>
      <c r="F431" s="228"/>
      <c r="G431" s="228"/>
      <c r="H431" s="78"/>
      <c r="I431" s="230"/>
      <c r="J431" s="78" t="s">
        <v>18</v>
      </c>
      <c r="K431" s="78"/>
    </row>
    <row r="432" spans="2:11" ht="13.5" customHeight="1" hidden="1">
      <c r="B432" s="498"/>
      <c r="C432" s="499"/>
      <c r="D432" s="225"/>
      <c r="E432" s="226"/>
      <c r="F432" s="228"/>
      <c r="G432" s="228"/>
      <c r="H432" s="78"/>
      <c r="I432" s="78"/>
      <c r="J432" s="78"/>
      <c r="K432" s="78"/>
    </row>
    <row r="433" spans="4:11" ht="27.75" customHeight="1" hidden="1">
      <c r="D433" s="225"/>
      <c r="E433" s="226"/>
      <c r="F433" s="228"/>
      <c r="G433" s="228"/>
      <c r="H433" s="78"/>
      <c r="I433" s="78"/>
      <c r="J433" s="78" t="s">
        <v>19</v>
      </c>
      <c r="K433" s="78"/>
    </row>
    <row r="434" spans="2:11" ht="18.75" customHeight="1" hidden="1">
      <c r="B434" s="84"/>
      <c r="C434" s="231"/>
      <c r="D434" s="225"/>
      <c r="E434" s="226"/>
      <c r="F434" s="228"/>
      <c r="G434" s="228"/>
      <c r="H434" s="78"/>
      <c r="I434" s="78"/>
      <c r="J434" s="78"/>
      <c r="K434" s="78"/>
    </row>
    <row r="435" spans="2:11" ht="18.75" customHeight="1" hidden="1">
      <c r="B435" s="78"/>
      <c r="C435" s="225"/>
      <c r="D435" s="225"/>
      <c r="E435" s="226"/>
      <c r="F435" s="228"/>
      <c r="G435" s="228"/>
      <c r="H435" s="78"/>
      <c r="I435" s="78"/>
      <c r="J435" s="78"/>
      <c r="K435" s="78"/>
    </row>
    <row r="436" spans="2:11" ht="27" customHeight="1" hidden="1">
      <c r="B436" s="78"/>
      <c r="C436" s="225"/>
      <c r="D436" s="225"/>
      <c r="E436" s="226"/>
      <c r="F436" s="228"/>
      <c r="G436" s="228"/>
      <c r="H436" s="78"/>
      <c r="I436" s="78"/>
      <c r="J436" s="78" t="s">
        <v>20</v>
      </c>
      <c r="K436" s="78"/>
    </row>
    <row r="437" spans="2:8" ht="22.5" hidden="1">
      <c r="B437" s="78"/>
      <c r="C437" s="225"/>
      <c r="D437" s="225"/>
      <c r="E437" s="226"/>
      <c r="F437" s="232"/>
      <c r="G437" s="232"/>
      <c r="H437" s="84"/>
    </row>
    <row r="438" spans="2:5" ht="18" customHeight="1" hidden="1">
      <c r="B438" s="78"/>
      <c r="C438" s="225"/>
      <c r="D438" s="233"/>
      <c r="E438" s="226"/>
    </row>
    <row r="439" spans="2:5" ht="22.5" hidden="1">
      <c r="B439" s="78"/>
      <c r="C439" s="225"/>
      <c r="E439" s="226"/>
    </row>
    <row r="440" spans="2:9" ht="21" customHeight="1">
      <c r="B440" s="78"/>
      <c r="C440" s="225"/>
      <c r="E440" s="234"/>
      <c r="F440" s="235"/>
      <c r="G440" s="235"/>
      <c r="I440" s="236"/>
    </row>
    <row r="441" spans="2:9" ht="21" customHeight="1">
      <c r="B441" s="78"/>
      <c r="C441" s="225"/>
      <c r="D441" s="231"/>
      <c r="E441" s="234"/>
      <c r="F441" s="237"/>
      <c r="G441" s="237"/>
      <c r="I441" s="238"/>
    </row>
    <row r="442" spans="1:14" s="76" customFormat="1" ht="21" customHeight="1">
      <c r="A442" s="54"/>
      <c r="B442" s="78"/>
      <c r="C442" s="225"/>
      <c r="D442" s="239"/>
      <c r="E442" s="231"/>
      <c r="F442" s="240"/>
      <c r="G442" s="240"/>
      <c r="L442" s="84"/>
      <c r="M442" s="83"/>
      <c r="N442" s="50"/>
    </row>
    <row r="443" spans="1:14" s="76" customFormat="1" ht="18.75" customHeight="1">
      <c r="A443" s="54"/>
      <c r="B443" s="78"/>
      <c r="C443" s="233"/>
      <c r="L443" s="84"/>
      <c r="M443" s="83"/>
      <c r="N443" s="50"/>
    </row>
    <row r="444" spans="1:14" s="76" customFormat="1" ht="22.5" customHeight="1">
      <c r="A444" s="54"/>
      <c r="D444" s="241"/>
      <c r="L444" s="84"/>
      <c r="M444" s="83"/>
      <c r="N444" s="50"/>
    </row>
    <row r="445" spans="1:14" s="76" customFormat="1" ht="18">
      <c r="A445" s="54"/>
      <c r="B445" s="84"/>
      <c r="L445" s="84"/>
      <c r="M445" s="83"/>
      <c r="N445" s="50"/>
    </row>
  </sheetData>
  <sheetProtection/>
  <mergeCells count="215">
    <mergeCell ref="A414:A419"/>
    <mergeCell ref="B414:C419"/>
    <mergeCell ref="B420:C420"/>
    <mergeCell ref="A421:A427"/>
    <mergeCell ref="B421:C427"/>
    <mergeCell ref="B428:C432"/>
    <mergeCell ref="A402:A407"/>
    <mergeCell ref="B402:C407"/>
    <mergeCell ref="M402:M407"/>
    <mergeCell ref="A408:A413"/>
    <mergeCell ref="B408:C413"/>
    <mergeCell ref="M408:M413"/>
    <mergeCell ref="A393:M393"/>
    <mergeCell ref="A394:M394"/>
    <mergeCell ref="A395:M395"/>
    <mergeCell ref="A396:A401"/>
    <mergeCell ref="B396:C401"/>
    <mergeCell ref="M396:M401"/>
    <mergeCell ref="A378:A383"/>
    <mergeCell ref="B378:C383"/>
    <mergeCell ref="A384:M384"/>
    <mergeCell ref="A385:L385"/>
    <mergeCell ref="A386:M386"/>
    <mergeCell ref="A387:A392"/>
    <mergeCell ref="B387:C392"/>
    <mergeCell ref="M387:M392"/>
    <mergeCell ref="A313:A322"/>
    <mergeCell ref="B313:C322"/>
    <mergeCell ref="M313:M377"/>
    <mergeCell ref="A324:A377"/>
    <mergeCell ref="B324:C377"/>
    <mergeCell ref="D324:D331"/>
    <mergeCell ref="D332:D337"/>
    <mergeCell ref="D338:D347"/>
    <mergeCell ref="D348:D357"/>
    <mergeCell ref="D368:D377"/>
    <mergeCell ref="B302:C302"/>
    <mergeCell ref="A304:A309"/>
    <mergeCell ref="B304:C309"/>
    <mergeCell ref="A310:M310"/>
    <mergeCell ref="A311:M311"/>
    <mergeCell ref="A312:K312"/>
    <mergeCell ref="A285:A287"/>
    <mergeCell ref="B285:C287"/>
    <mergeCell ref="A288:A291"/>
    <mergeCell ref="B288:B291"/>
    <mergeCell ref="A292:A297"/>
    <mergeCell ref="B292:B297"/>
    <mergeCell ref="A274:A275"/>
    <mergeCell ref="M274:M275"/>
    <mergeCell ref="M277:M278"/>
    <mergeCell ref="A278:A280"/>
    <mergeCell ref="B282:C282"/>
    <mergeCell ref="B283:C283"/>
    <mergeCell ref="M283:M284"/>
    <mergeCell ref="B284:C284"/>
    <mergeCell ref="L250:L251"/>
    <mergeCell ref="A253:A269"/>
    <mergeCell ref="B253:B269"/>
    <mergeCell ref="M253:M260"/>
    <mergeCell ref="M261:M269"/>
    <mergeCell ref="A270:A273"/>
    <mergeCell ref="B270:B273"/>
    <mergeCell ref="B246:B247"/>
    <mergeCell ref="D246:D247"/>
    <mergeCell ref="A248:A249"/>
    <mergeCell ref="B248:B249"/>
    <mergeCell ref="D248:D249"/>
    <mergeCell ref="A250:A252"/>
    <mergeCell ref="B250:B252"/>
    <mergeCell ref="D250:D252"/>
    <mergeCell ref="A195:M195"/>
    <mergeCell ref="A196:M196"/>
    <mergeCell ref="A197:A245"/>
    <mergeCell ref="B197:B229"/>
    <mergeCell ref="M197:M252"/>
    <mergeCell ref="L200:L205"/>
    <mergeCell ref="B237:B238"/>
    <mergeCell ref="B239:B240"/>
    <mergeCell ref="B242:B245"/>
    <mergeCell ref="A246:A247"/>
    <mergeCell ref="B186:C186"/>
    <mergeCell ref="A187:A192"/>
    <mergeCell ref="B187:C192"/>
    <mergeCell ref="M187:M192"/>
    <mergeCell ref="A193:M193"/>
    <mergeCell ref="A194:M194"/>
    <mergeCell ref="M175:M180"/>
    <mergeCell ref="B181:C181"/>
    <mergeCell ref="B182:C182"/>
    <mergeCell ref="B183:C183"/>
    <mergeCell ref="B184:C184"/>
    <mergeCell ref="B185:C185"/>
    <mergeCell ref="E151:E158"/>
    <mergeCell ref="D159:D166"/>
    <mergeCell ref="E159:E166"/>
    <mergeCell ref="D167:D174"/>
    <mergeCell ref="E167:E174"/>
    <mergeCell ref="A175:A180"/>
    <mergeCell ref="B175:C180"/>
    <mergeCell ref="E120:E127"/>
    <mergeCell ref="D128:D135"/>
    <mergeCell ref="E128:E135"/>
    <mergeCell ref="D136:D143"/>
    <mergeCell ref="E136:E143"/>
    <mergeCell ref="A144:A174"/>
    <mergeCell ref="B144:C174"/>
    <mergeCell ref="D144:D150"/>
    <mergeCell ref="E144:E150"/>
    <mergeCell ref="D151:D158"/>
    <mergeCell ref="A97:A143"/>
    <mergeCell ref="B97:C143"/>
    <mergeCell ref="D97:D103"/>
    <mergeCell ref="E97:E103"/>
    <mergeCell ref="M97:M166"/>
    <mergeCell ref="D104:D111"/>
    <mergeCell ref="E104:E111"/>
    <mergeCell ref="D112:D119"/>
    <mergeCell ref="E112:E119"/>
    <mergeCell ref="D120:D127"/>
    <mergeCell ref="I84:I85"/>
    <mergeCell ref="J84:J85"/>
    <mergeCell ref="K84:K85"/>
    <mergeCell ref="L84:L85"/>
    <mergeCell ref="M84:M90"/>
    <mergeCell ref="A91:A96"/>
    <mergeCell ref="B91:C96"/>
    <mergeCell ref="M91:M96"/>
    <mergeCell ref="A78:A83"/>
    <mergeCell ref="B78:C83"/>
    <mergeCell ref="M78:M83"/>
    <mergeCell ref="A84:A90"/>
    <mergeCell ref="B84:C90"/>
    <mergeCell ref="D84:D85"/>
    <mergeCell ref="E84:E85"/>
    <mergeCell ref="F84:F85"/>
    <mergeCell ref="G84:G85"/>
    <mergeCell ref="H84:H85"/>
    <mergeCell ref="G72:G73"/>
    <mergeCell ref="H72:H73"/>
    <mergeCell ref="I72:I73"/>
    <mergeCell ref="J72:J73"/>
    <mergeCell ref="K72:K73"/>
    <mergeCell ref="L72:L73"/>
    <mergeCell ref="B64:C64"/>
    <mergeCell ref="A65:A70"/>
    <mergeCell ref="B65:C70"/>
    <mergeCell ref="M65:M70"/>
    <mergeCell ref="A71:A77"/>
    <mergeCell ref="B71:C77"/>
    <mergeCell ref="M71:M74"/>
    <mergeCell ref="D72:D73"/>
    <mergeCell ref="E72:E73"/>
    <mergeCell ref="F72:F73"/>
    <mergeCell ref="M50:M55"/>
    <mergeCell ref="A56:A61"/>
    <mergeCell ref="B56:C61"/>
    <mergeCell ref="M56:M61"/>
    <mergeCell ref="A62:A63"/>
    <mergeCell ref="B62:C63"/>
    <mergeCell ref="G50:G51"/>
    <mergeCell ref="H50:H51"/>
    <mergeCell ref="I50:I51"/>
    <mergeCell ref="J50:J51"/>
    <mergeCell ref="K50:K51"/>
    <mergeCell ref="L50:L51"/>
    <mergeCell ref="B41:B44"/>
    <mergeCell ref="A46:M46"/>
    <mergeCell ref="A47:M47"/>
    <mergeCell ref="A48:M48"/>
    <mergeCell ref="A49:M49"/>
    <mergeCell ref="A50:A55"/>
    <mergeCell ref="B50:C55"/>
    <mergeCell ref="D50:D51"/>
    <mergeCell ref="E50:E51"/>
    <mergeCell ref="F50:F51"/>
    <mergeCell ref="A39:A40"/>
    <mergeCell ref="B39:B40"/>
    <mergeCell ref="A29:A31"/>
    <mergeCell ref="B29:B31"/>
    <mergeCell ref="B10:C10"/>
    <mergeCell ref="A11:M11"/>
    <mergeCell ref="M29:M38"/>
    <mergeCell ref="A27:A28"/>
    <mergeCell ref="B27:B28"/>
    <mergeCell ref="M27:M28"/>
    <mergeCell ref="A23:A26"/>
    <mergeCell ref="B23:B26"/>
    <mergeCell ref="M23:M26"/>
    <mergeCell ref="A14:M14"/>
    <mergeCell ref="A15:A20"/>
    <mergeCell ref="B15:B20"/>
    <mergeCell ref="M15:M22"/>
    <mergeCell ref="A21:A22"/>
    <mergeCell ref="B21:B22"/>
    <mergeCell ref="A12:M12"/>
    <mergeCell ref="A13:M13"/>
    <mergeCell ref="M5:M9"/>
    <mergeCell ref="F6:F9"/>
    <mergeCell ref="G6:J6"/>
    <mergeCell ref="G7:I7"/>
    <mergeCell ref="J7:J9"/>
    <mergeCell ref="L5:L9"/>
    <mergeCell ref="H8:I8"/>
    <mergeCell ref="G8:G9"/>
    <mergeCell ref="B230:B236"/>
    <mergeCell ref="K1:M1"/>
    <mergeCell ref="K2:M2"/>
    <mergeCell ref="B3:L3"/>
    <mergeCell ref="A5:A9"/>
    <mergeCell ref="B5:C9"/>
    <mergeCell ref="D5:D9"/>
    <mergeCell ref="E5:E9"/>
    <mergeCell ref="F5:J5"/>
    <mergeCell ref="K5:K9"/>
  </mergeCells>
  <printOptions/>
  <pageMargins left="0.35433070866141736" right="0.2755905511811024" top="0.7480314960629921" bottom="0.15748031496062992" header="0.15748031496062992" footer="0.15748031496062992"/>
  <pageSetup horizontalDpi="600" verticalDpi="600" orientation="landscape" paperSize="9" scale="40" r:id="rId1"/>
  <rowBreaks count="5" manualBreakCount="5">
    <brk id="123" max="12" man="1"/>
    <brk id="180" max="12" man="1"/>
    <brk id="192" max="12" man="1"/>
    <brk id="362" max="12" man="1"/>
    <brk id="39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2020-02-14T11:41:34Z</cp:lastPrinted>
  <dcterms:created xsi:type="dcterms:W3CDTF">2010-09-22T11:49:59Z</dcterms:created>
  <dcterms:modified xsi:type="dcterms:W3CDTF">2020-02-25T12:21:27Z</dcterms:modified>
  <cp:category/>
  <cp:version/>
  <cp:contentType/>
  <cp:contentStatus/>
</cp:coreProperties>
</file>