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7992" tabRatio="478" activeTab="0"/>
  </bookViews>
  <sheets>
    <sheet name="Изменения  от 25.09.19г." sheetId="1" r:id="rId1"/>
  </sheets>
  <definedNames>
    <definedName name="_xlnm.Print_Titles" localSheetId="0">'Изменения  от 25.09.19г.'!$5:$10</definedName>
    <definedName name="_xlnm.Print_Area" localSheetId="0">'Изменения  от 25.09.19г.'!$A$1:$M$325</definedName>
  </definedNames>
  <calcPr fullCalcOnLoad="1"/>
</workbook>
</file>

<file path=xl/sharedStrings.xml><?xml version="1.0" encoding="utf-8"?>
<sst xmlns="http://schemas.openxmlformats.org/spreadsheetml/2006/main" count="408" uniqueCount="196">
  <si>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</si>
  <si>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</si>
  <si>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</si>
  <si>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</si>
  <si>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</si>
  <si>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</si>
  <si>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</si>
  <si>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</si>
  <si>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</si>
  <si>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</si>
  <si>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</si>
  <si>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</si>
  <si>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</si>
  <si>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</si>
  <si>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</si>
  <si>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</si>
  <si>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</si>
  <si>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</si>
  <si>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</si>
  <si>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</si>
  <si>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</si>
  <si>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</si>
  <si>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</si>
  <si>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</si>
  <si>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</si>
  <si>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</si>
  <si>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</si>
  <si>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</si>
  <si>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</si>
  <si>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</si>
  <si>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</si>
  <si>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</si>
  <si>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</si>
  <si>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</si>
  <si>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</si>
  <si>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</si>
  <si>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</si>
  <si>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</si>
  <si>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</si>
  <si>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</si>
  <si>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</si>
  <si>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</si>
  <si>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</si>
  <si>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</si>
  <si>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</si>
  <si>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</si>
  <si>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</si>
  <si>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</si>
  <si>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</si>
  <si>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</si>
  <si>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</si>
  <si>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</si>
  <si>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</si>
  <si>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</si>
  <si>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</si>
  <si>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</si>
  <si>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</si>
  <si>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</si>
  <si>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</si>
  <si>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</si>
  <si>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</si>
  <si>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</si>
  <si>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</si>
  <si>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</si>
  <si>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</si>
  <si>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</si>
  <si>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</si>
  <si>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</si>
  <si>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</si>
  <si>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</si>
  <si>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</si>
  <si>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</si>
  <si>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</si>
  <si>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</si>
  <si>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</si>
  <si>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</si>
  <si>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</si>
  <si>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</si>
  <si>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</si>
  <si>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</si>
  <si>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</si>
  <si>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</si>
  <si>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</si>
  <si>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</si>
  <si>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</si>
  <si>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</si>
  <si>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</si>
  <si>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</si>
  <si>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</si>
  <si>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</si>
  <si>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</si>
  <si>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</si>
  <si>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</si>
  <si>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</si>
  <si>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</si>
  <si>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</si>
  <si>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</si>
  <si>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</si>
  <si>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</si>
  <si>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</si>
  <si>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</si>
  <si>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</si>
  <si>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</si>
  <si>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</si>
  <si>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</si>
  <si>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</si>
  <si>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</si>
  <si>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</si>
  <si>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</si>
  <si>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</si>
  <si>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</si>
  <si>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</si>
  <si>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</si>
  <si>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</si>
  <si>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</si>
  <si>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</si>
  <si>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</si>
  <si>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</si>
  <si>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</si>
  <si>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</si>
  <si>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</si>
  <si>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</si>
  <si>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2.3.1.</t>
  </si>
  <si>
    <t>2.3.</t>
  </si>
  <si>
    <t>2.3.2.</t>
  </si>
  <si>
    <t>2.3.3.</t>
  </si>
  <si>
    <t>2.3.4.</t>
  </si>
  <si>
    <t>2.3.5.</t>
  </si>
  <si>
    <t>Приобретение автоматических выключателей в электрощитки (замена)</t>
  </si>
  <si>
    <t xml:space="preserve">Ожидаемые результаты                                   Обеспеченность качественного воспроиведения записей, обеспеченностьантитеррористической защищенности объекта на всех этажах 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</si>
  <si>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</si>
  <si>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</si>
  <si>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</si>
  <si>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</si>
  <si>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функционирования програмного комплекса "1С -управление школой", создание ИС "Барс"</t>
  </si>
  <si>
    <t>Обеспечение безопасности дорожного движения</t>
  </si>
  <si>
    <t>ДОУ № 3</t>
  </si>
  <si>
    <t>ДОУ № 5</t>
  </si>
  <si>
    <t>ДОУ № 6</t>
  </si>
  <si>
    <t>Оснащение пунктов проведения ЕГЭ  (видеонаблюдение)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</si>
  <si>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</si>
  <si>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</si>
  <si>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</si>
  <si>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</si>
  <si>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</si>
  <si>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Обеспечение антитеррористической защищенности, пожрной безопасности общеобразовательных организаций на обновление их материально-технической базы</t>
  </si>
  <si>
    <t>Оборудование видеокамерами цветного изображения рекреаций 1-3 этажей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</si>
  <si>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</si>
  <si>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</si>
  <si>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</si>
  <si>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</si>
  <si>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</si>
  <si>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</si>
  <si>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</si>
  <si>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</si>
  <si>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</si>
  <si>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</si>
  <si>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</si>
  <si>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Образовательные учр.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</si>
  <si>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</si>
  <si>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</si>
  <si>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</si>
  <si>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</si>
  <si>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СОШ 2</t>
  </si>
  <si>
    <t>СОШ 1</t>
  </si>
  <si>
    <t>ЦВР (софинанс)</t>
  </si>
  <si>
    <t xml:space="preserve"> ЦВР "Лад" (з/плата)</t>
  </si>
  <si>
    <t>ЦВР "Лад"  (все расзоды)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</si>
  <si>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</si>
  <si>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Укрепление МТБ (приобретение)</t>
  </si>
  <si>
    <t xml:space="preserve">Приложение № 2 к программе "Развитие образования </t>
  </si>
  <si>
    <t>ЗАТО г. Радужный Владимирской области"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</si>
  <si>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</si>
  <si>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</si>
  <si>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ЦВР Лад - приобрет винтовки</t>
  </si>
  <si>
    <t>2.4.</t>
  </si>
  <si>
    <t>2.4.1.</t>
  </si>
  <si>
    <t>2.4.2.</t>
  </si>
  <si>
    <t>2.5.</t>
  </si>
  <si>
    <t xml:space="preserve"> Поощрение лучших учителей-лауреатов областного конкурса</t>
  </si>
  <si>
    <t>1.12.</t>
  </si>
  <si>
    <t>Управление образования, МБОУ ДО ЦВР "Лад"</t>
  </si>
  <si>
    <t>Упр-е образования, методкабинет</t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</si>
  <si>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  4.Повышение компетентности родителей (законных предсставителей) в вопросах воспитания и образования дедей.
</t>
  </si>
  <si>
    <t>Управление образования, СОШ № 1</t>
  </si>
  <si>
    <t>Проведение специальной оценки условий труда</t>
  </si>
  <si>
    <t>1.13.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</si>
  <si>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</si>
  <si>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МБОУДО ЦВР "Лад"</t>
  </si>
  <si>
    <t>Поставка мегафона  и оповещателя</t>
  </si>
  <si>
    <t>Дополнительное оборудование здания начальных классов системой наружного и внутреннего  видеонаблюдения.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</si>
  <si>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</si>
  <si>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</si>
  <si>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</si>
  <si>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Создание и функционирование на базе МБОУ ДО ЦВР "Лад"консультативного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</si>
  <si>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Оказание психолого- педагогической , методической и консультативной помощи 100%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</si>
</sst>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8" fillId="0" borderId="0" xfId="0" applyNumberFormat="1" applyFont="1" applyAlignment="1">
      <alignment horizontal="center"/>
    </xf>
    <xf numFmtId="179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 wrapText="1"/>
    </xf>
    <xf numFmtId="178" fontId="7" fillId="0" borderId="10" xfId="6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50" fillId="0" borderId="10" xfId="6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center" wrapText="1"/>
    </xf>
    <xf numFmtId="178" fontId="7" fillId="0" borderId="10" xfId="6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78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4" fillId="0" borderId="10" xfId="60" applyNumberFormat="1" applyFont="1" applyFill="1" applyBorder="1" applyAlignment="1">
      <alignment horizontal="center" vertical="top" wrapText="1"/>
    </xf>
    <xf numFmtId="178" fontId="7" fillId="0" borderId="10" xfId="60" applyNumberFormat="1" applyFont="1" applyFill="1" applyBorder="1" applyAlignment="1">
      <alignment vertical="top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78" fontId="7" fillId="0" borderId="10" xfId="6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178" fontId="10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178" fontId="7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78" fontId="8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8" fontId="8" fillId="0" borderId="18" xfId="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1" fontId="7" fillId="0" borderId="10" xfId="60" applyFont="1" applyFill="1" applyBorder="1" applyAlignment="1">
      <alignment wrapText="1"/>
    </xf>
    <xf numFmtId="178" fontId="8" fillId="0" borderId="19" xfId="0" applyNumberFormat="1" applyFont="1" applyFill="1" applyBorder="1" applyAlignment="1">
      <alignment horizontal="center" vertical="center" wrapText="1"/>
    </xf>
    <xf numFmtId="2" fontId="10" fillId="0" borderId="10" xfId="6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171" fontId="7" fillId="0" borderId="10" xfId="6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6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" fontId="9" fillId="0" borderId="22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178" fontId="8" fillId="0" borderId="24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top" wrapText="1"/>
    </xf>
    <xf numFmtId="2" fontId="11" fillId="0" borderId="25" xfId="6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/>
    </xf>
    <xf numFmtId="179" fontId="51" fillId="0" borderId="10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178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top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89" fontId="7" fillId="0" borderId="10" xfId="60" applyNumberFormat="1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/>
    </xf>
    <xf numFmtId="189" fontId="7" fillId="0" borderId="12" xfId="60" applyNumberFormat="1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center" wrapText="1"/>
    </xf>
    <xf numFmtId="178" fontId="7" fillId="4" borderId="25" xfId="0" applyNumberFormat="1" applyFont="1" applyFill="1" applyBorder="1" applyAlignment="1">
      <alignment horizontal="center" vertical="center" wrapText="1"/>
    </xf>
    <xf numFmtId="178" fontId="8" fillId="4" borderId="10" xfId="0" applyNumberFormat="1" applyFont="1" applyFill="1" applyBorder="1" applyAlignment="1">
      <alignment horizontal="center" vertical="center" wrapText="1"/>
    </xf>
    <xf numFmtId="178" fontId="7" fillId="4" borderId="19" xfId="0" applyNumberFormat="1" applyFont="1" applyFill="1" applyBorder="1" applyAlignment="1">
      <alignment horizontal="center" vertical="center" wrapText="1"/>
    </xf>
    <xf numFmtId="178" fontId="7" fillId="4" borderId="10" xfId="0" applyNumberFormat="1" applyFont="1" applyFill="1" applyBorder="1" applyAlignment="1">
      <alignment horizontal="center" vertical="center" wrapText="1"/>
    </xf>
    <xf numFmtId="178" fontId="4" fillId="4" borderId="10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16" fontId="3" fillId="0" borderId="33" xfId="0" applyNumberFormat="1" applyFont="1" applyFill="1" applyBorder="1" applyAlignment="1">
      <alignment horizontal="center" vertical="top" wrapText="1"/>
    </xf>
    <xf numFmtId="16" fontId="3" fillId="0" borderId="34" xfId="0" applyNumberFormat="1" applyFont="1" applyFill="1" applyBorder="1" applyAlignment="1">
      <alignment horizontal="center" vertical="top" wrapText="1"/>
    </xf>
    <xf numFmtId="16" fontId="3" fillId="0" borderId="35" xfId="0" applyNumberFormat="1" applyFont="1" applyFill="1" applyBorder="1" applyAlignment="1">
      <alignment horizontal="center" vertical="top" wrapText="1"/>
    </xf>
    <xf numFmtId="16" fontId="3" fillId="0" borderId="29" xfId="0" applyNumberFormat="1" applyFont="1" applyFill="1" applyBorder="1" applyAlignment="1">
      <alignment horizontal="center" vertical="top" wrapText="1"/>
    </xf>
    <xf numFmtId="16" fontId="3" fillId="0" borderId="31" xfId="0" applyNumberFormat="1" applyFont="1" applyFill="1" applyBorder="1" applyAlignment="1">
      <alignment horizontal="center" vertical="top" wrapText="1"/>
    </xf>
    <xf numFmtId="16" fontId="3" fillId="0" borderId="36" xfId="0" applyNumberFormat="1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9" xfId="0" applyFont="1" applyFill="1" applyBorder="1" applyAlignment="1">
      <alignment vertical="top" wrapText="1"/>
    </xf>
    <xf numFmtId="0" fontId="5" fillId="0" borderId="4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39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9" fillId="0" borderId="31" xfId="0" applyFont="1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41" xfId="0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179" fontId="3" fillId="0" borderId="42" xfId="0" applyNumberFormat="1" applyFont="1" applyFill="1" applyBorder="1" applyAlignment="1">
      <alignment horizontal="left" vertical="top" wrapText="1"/>
    </xf>
    <xf numFmtId="179" fontId="3" fillId="0" borderId="3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6" fontId="9" fillId="0" borderId="39" xfId="0" applyNumberFormat="1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" fontId="6" fillId="0" borderId="33" xfId="0" applyNumberFormat="1" applyFont="1" applyFill="1" applyBorder="1" applyAlignment="1">
      <alignment horizontal="left" vertical="top" wrapText="1"/>
    </xf>
    <xf numFmtId="16" fontId="6" fillId="0" borderId="34" xfId="0" applyNumberFormat="1" applyFont="1" applyFill="1" applyBorder="1" applyAlignment="1">
      <alignment horizontal="left" vertical="top" wrapText="1"/>
    </xf>
    <xf numFmtId="16" fontId="6" fillId="0" borderId="35" xfId="0" applyNumberFormat="1" applyFont="1" applyFill="1" applyBorder="1" applyAlignment="1">
      <alignment horizontal="left" vertical="top" wrapText="1"/>
    </xf>
    <xf numFmtId="16" fontId="6" fillId="0" borderId="29" xfId="0" applyNumberFormat="1" applyFont="1" applyFill="1" applyBorder="1" applyAlignment="1">
      <alignment horizontal="left" vertical="top" wrapText="1"/>
    </xf>
    <xf numFmtId="16" fontId="6" fillId="0" borderId="31" xfId="0" applyNumberFormat="1" applyFont="1" applyFill="1" applyBorder="1" applyAlignment="1">
      <alignment horizontal="left" vertical="top" wrapText="1"/>
    </xf>
    <xf numFmtId="16" fontId="6" fillId="0" borderId="36" xfId="0" applyNumberFormat="1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4"/>
  <sheetViews>
    <sheetView tabSelected="1" view="pageBreakPreview" zoomScale="60" zoomScaleNormal="64" zoomScalePageLayoutView="50" workbookViewId="0" topLeftCell="A7">
      <pane xSplit="4" ySplit="3" topLeftCell="K122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B123" sqref="B123:C123"/>
    </sheetView>
  </sheetViews>
  <sheetFormatPr defaultColWidth="9.125" defaultRowHeight="12.75"/>
  <cols>
    <col min="1" max="1" width="10.375" style="79" customWidth="1"/>
    <col min="2" max="2" width="56.625" style="63" customWidth="1"/>
    <col min="3" max="3" width="14.875" style="63" customWidth="1"/>
    <col min="4" max="4" width="17.50390625" style="63" customWidth="1"/>
    <col min="5" max="5" width="24.625" style="63" customWidth="1"/>
    <col min="6" max="6" width="23.625" style="63" customWidth="1"/>
    <col min="7" max="7" width="26.50390625" style="63" customWidth="1"/>
    <col min="8" max="8" width="21.125" style="63" customWidth="1"/>
    <col min="9" max="9" width="24.50390625" style="63" customWidth="1"/>
    <col min="10" max="10" width="25.50390625" style="102" customWidth="1"/>
    <col min="11" max="11" width="16.50390625" style="63" customWidth="1"/>
    <col min="12" max="12" width="32.50390625" style="70" customWidth="1"/>
    <col min="13" max="13" width="65.875" style="82" customWidth="1"/>
    <col min="14" max="16384" width="9.125" style="63" customWidth="1"/>
  </cols>
  <sheetData>
    <row r="1" spans="11:13" ht="33.75" customHeight="1">
      <c r="K1" s="168" t="s">
        <v>170</v>
      </c>
      <c r="L1" s="168"/>
      <c r="M1" s="168"/>
    </row>
    <row r="2" spans="11:13" ht="30.75" customHeight="1">
      <c r="K2" s="168" t="s">
        <v>171</v>
      </c>
      <c r="L2" s="168"/>
      <c r="M2" s="168"/>
    </row>
    <row r="3" spans="1:13" s="102" customFormat="1" ht="19.5" customHeight="1">
      <c r="A3" s="110"/>
      <c r="B3" s="299" t="s">
        <v>71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111"/>
    </row>
    <row r="4" spans="1:13" s="102" customFormat="1" ht="18">
      <c r="A4" s="110"/>
      <c r="J4" s="102" t="s">
        <v>16</v>
      </c>
      <c r="L4" s="112"/>
      <c r="M4" s="111"/>
    </row>
    <row r="5" spans="1:13" s="102" customFormat="1" ht="28.5" customHeight="1">
      <c r="A5" s="238"/>
      <c r="B5" s="188" t="s">
        <v>8</v>
      </c>
      <c r="C5" s="188"/>
      <c r="D5" s="188" t="s">
        <v>9</v>
      </c>
      <c r="E5" s="188" t="s">
        <v>0</v>
      </c>
      <c r="F5" s="188" t="s">
        <v>13</v>
      </c>
      <c r="G5" s="188"/>
      <c r="H5" s="188"/>
      <c r="I5" s="188"/>
      <c r="J5" s="188"/>
      <c r="K5" s="188" t="s">
        <v>14</v>
      </c>
      <c r="L5" s="188" t="s">
        <v>1</v>
      </c>
      <c r="M5" s="247" t="s">
        <v>129</v>
      </c>
    </row>
    <row r="6" spans="1:13" s="102" customFormat="1" ht="28.5" customHeight="1">
      <c r="A6" s="238"/>
      <c r="B6" s="188"/>
      <c r="C6" s="188"/>
      <c r="D6" s="188"/>
      <c r="E6" s="188"/>
      <c r="F6" s="188" t="s">
        <v>11</v>
      </c>
      <c r="G6" s="188" t="s">
        <v>101</v>
      </c>
      <c r="H6" s="188"/>
      <c r="I6" s="188"/>
      <c r="J6" s="188"/>
      <c r="K6" s="188"/>
      <c r="L6" s="188"/>
      <c r="M6" s="248"/>
    </row>
    <row r="7" spans="1:13" s="102" customFormat="1" ht="28.5" customHeight="1">
      <c r="A7" s="238"/>
      <c r="B7" s="188"/>
      <c r="C7" s="188"/>
      <c r="D7" s="188"/>
      <c r="E7" s="188"/>
      <c r="F7" s="188"/>
      <c r="G7" s="188" t="s">
        <v>104</v>
      </c>
      <c r="H7" s="188"/>
      <c r="I7" s="188"/>
      <c r="J7" s="188" t="s">
        <v>100</v>
      </c>
      <c r="K7" s="188"/>
      <c r="L7" s="188"/>
      <c r="M7" s="248"/>
    </row>
    <row r="8" spans="1:13" s="102" customFormat="1" ht="28.5" customHeight="1">
      <c r="A8" s="238"/>
      <c r="B8" s="188"/>
      <c r="C8" s="188"/>
      <c r="D8" s="188"/>
      <c r="E8" s="188"/>
      <c r="F8" s="188"/>
      <c r="G8" s="188" t="s">
        <v>102</v>
      </c>
      <c r="H8" s="188" t="s">
        <v>103</v>
      </c>
      <c r="I8" s="188"/>
      <c r="J8" s="188"/>
      <c r="K8" s="188"/>
      <c r="L8" s="188"/>
      <c r="M8" s="248"/>
    </row>
    <row r="9" spans="1:13" s="102" customFormat="1" ht="73.5" customHeight="1">
      <c r="A9" s="238"/>
      <c r="B9" s="188"/>
      <c r="C9" s="188"/>
      <c r="D9" s="188"/>
      <c r="E9" s="188"/>
      <c r="F9" s="188"/>
      <c r="G9" s="188"/>
      <c r="H9" s="12" t="s">
        <v>105</v>
      </c>
      <c r="I9" s="12" t="s">
        <v>106</v>
      </c>
      <c r="J9" s="188"/>
      <c r="K9" s="188"/>
      <c r="L9" s="188"/>
      <c r="M9" s="249"/>
    </row>
    <row r="10" spans="1:13" s="115" customFormat="1" ht="21">
      <c r="A10" s="113">
        <v>1</v>
      </c>
      <c r="B10" s="189">
        <v>2</v>
      </c>
      <c r="C10" s="189"/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14">
        <v>12</v>
      </c>
    </row>
    <row r="11" spans="1:13" s="102" customFormat="1" ht="12.75" customHeight="1">
      <c r="A11" s="176" t="s">
        <v>29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8"/>
    </row>
    <row r="12" spans="1:13" s="102" customFormat="1" ht="12.7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1"/>
    </row>
    <row r="13" spans="1:13" s="102" customFormat="1" ht="20.25" customHeight="1">
      <c r="A13" s="182" t="s">
        <v>72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5"/>
    </row>
    <row r="14" spans="1:13" s="102" customFormat="1" ht="86.25" customHeight="1">
      <c r="A14" s="239" t="s">
        <v>183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</row>
    <row r="15" spans="1:13" s="102" customFormat="1" ht="25.5" customHeight="1">
      <c r="A15" s="182" t="s">
        <v>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3" s="102" customFormat="1" ht="24.75" customHeight="1">
      <c r="A16" s="223" t="s">
        <v>73</v>
      </c>
      <c r="B16" s="169" t="s">
        <v>74</v>
      </c>
      <c r="C16" s="169"/>
      <c r="D16" s="247">
        <v>2017</v>
      </c>
      <c r="E16" s="226">
        <f>F16+G16+J16+K16</f>
        <v>0</v>
      </c>
      <c r="F16" s="226"/>
      <c r="G16" s="259">
        <f>H16+I16</f>
        <v>0</v>
      </c>
      <c r="H16" s="208"/>
      <c r="I16" s="208">
        <v>0</v>
      </c>
      <c r="J16" s="208">
        <v>0</v>
      </c>
      <c r="K16" s="242"/>
      <c r="L16" s="230" t="s">
        <v>3</v>
      </c>
      <c r="M16" s="169" t="s">
        <v>66</v>
      </c>
    </row>
    <row r="17" spans="1:13" s="102" customFormat="1" ht="15" customHeight="1">
      <c r="A17" s="223"/>
      <c r="B17" s="169"/>
      <c r="C17" s="169"/>
      <c r="D17" s="249"/>
      <c r="E17" s="226"/>
      <c r="F17" s="226"/>
      <c r="G17" s="259"/>
      <c r="H17" s="208"/>
      <c r="I17" s="208"/>
      <c r="J17" s="208"/>
      <c r="K17" s="242"/>
      <c r="L17" s="230"/>
      <c r="M17" s="169"/>
    </row>
    <row r="18" spans="1:13" s="102" customFormat="1" ht="24.75" customHeight="1">
      <c r="A18" s="223"/>
      <c r="B18" s="169"/>
      <c r="C18" s="169"/>
      <c r="D18" s="12">
        <v>2018</v>
      </c>
      <c r="E18" s="33">
        <f>F18+G18+J18+K18</f>
        <v>0</v>
      </c>
      <c r="F18" s="33"/>
      <c r="G18" s="19">
        <f>H18+I18</f>
        <v>0</v>
      </c>
      <c r="H18" s="10"/>
      <c r="I18" s="10">
        <v>0</v>
      </c>
      <c r="J18" s="10">
        <v>0</v>
      </c>
      <c r="K18" s="48"/>
      <c r="L18" s="97" t="s">
        <v>3</v>
      </c>
      <c r="M18" s="169"/>
    </row>
    <row r="19" spans="1:13" s="102" customFormat="1" ht="24.75" customHeight="1">
      <c r="A19" s="223"/>
      <c r="B19" s="169"/>
      <c r="C19" s="169"/>
      <c r="D19" s="12">
        <v>2019</v>
      </c>
      <c r="E19" s="33">
        <f>F19+G19+J19+K19</f>
        <v>0</v>
      </c>
      <c r="F19" s="19"/>
      <c r="G19" s="19">
        <f>H19+I19</f>
        <v>0</v>
      </c>
      <c r="H19" s="19"/>
      <c r="I19" s="10">
        <v>0</v>
      </c>
      <c r="J19" s="10">
        <v>0</v>
      </c>
      <c r="K19" s="48"/>
      <c r="L19" s="97" t="s">
        <v>3</v>
      </c>
      <c r="M19" s="169"/>
    </row>
    <row r="20" spans="1:13" s="102" customFormat="1" ht="24.75" customHeight="1">
      <c r="A20" s="223"/>
      <c r="B20" s="169"/>
      <c r="C20" s="169"/>
      <c r="D20" s="12">
        <v>2020</v>
      </c>
      <c r="E20" s="33">
        <f>F20+G20+J20+K20</f>
        <v>0</v>
      </c>
      <c r="F20" s="33"/>
      <c r="G20" s="19">
        <f>H20+I20</f>
        <v>0</v>
      </c>
      <c r="H20" s="19"/>
      <c r="I20" s="10">
        <v>0</v>
      </c>
      <c r="J20" s="10">
        <v>0</v>
      </c>
      <c r="K20" s="31"/>
      <c r="L20" s="11" t="s">
        <v>3</v>
      </c>
      <c r="M20" s="169"/>
    </row>
    <row r="21" spans="1:13" s="102" customFormat="1" ht="24.75" customHeight="1">
      <c r="A21" s="223"/>
      <c r="B21" s="169"/>
      <c r="C21" s="169"/>
      <c r="D21" s="12">
        <v>2021</v>
      </c>
      <c r="E21" s="33">
        <f>F21+G21+J21+K21</f>
        <v>0</v>
      </c>
      <c r="F21" s="33"/>
      <c r="G21" s="19">
        <f>H21+I21</f>
        <v>0</v>
      </c>
      <c r="H21" s="19"/>
      <c r="I21" s="10">
        <v>0</v>
      </c>
      <c r="J21" s="10">
        <v>0</v>
      </c>
      <c r="K21" s="31"/>
      <c r="L21" s="11" t="s">
        <v>3</v>
      </c>
      <c r="M21" s="169"/>
    </row>
    <row r="22" spans="1:13" s="102" customFormat="1" ht="55.5" customHeight="1">
      <c r="A22" s="223" t="s">
        <v>75</v>
      </c>
      <c r="B22" s="169" t="s">
        <v>160</v>
      </c>
      <c r="C22" s="169"/>
      <c r="D22" s="12">
        <v>2017</v>
      </c>
      <c r="E22" s="33">
        <f aca="true" t="shared" si="0" ref="E22:E28">F22+I22+J22+K22</f>
        <v>155.5623</v>
      </c>
      <c r="F22" s="33"/>
      <c r="G22" s="33">
        <f aca="true" t="shared" si="1" ref="G22:G28">H22+I22</f>
        <v>0</v>
      </c>
      <c r="H22" s="34"/>
      <c r="I22" s="35">
        <v>0</v>
      </c>
      <c r="J22" s="35">
        <f>40+68.197-39.45+0.42+51.795+4.6003+30</f>
        <v>155.5623</v>
      </c>
      <c r="K22" s="36"/>
      <c r="L22" s="11" t="s">
        <v>6</v>
      </c>
      <c r="M22" s="169" t="s">
        <v>57</v>
      </c>
    </row>
    <row r="23" spans="1:13" s="102" customFormat="1" ht="57.75" customHeight="1">
      <c r="A23" s="223"/>
      <c r="B23" s="169"/>
      <c r="C23" s="169"/>
      <c r="D23" s="12">
        <v>2018</v>
      </c>
      <c r="E23" s="33">
        <f t="shared" si="0"/>
        <v>394.40002999999996</v>
      </c>
      <c r="F23" s="33"/>
      <c r="G23" s="33">
        <f t="shared" si="1"/>
        <v>0</v>
      </c>
      <c r="H23" s="34"/>
      <c r="I23" s="35">
        <v>0</v>
      </c>
      <c r="J23" s="35">
        <f>325-70-60+150-5.5-9.25-8.1+41.63+30.62003</f>
        <v>394.40002999999996</v>
      </c>
      <c r="K23" s="36"/>
      <c r="L23" s="11" t="s">
        <v>118</v>
      </c>
      <c r="M23" s="169"/>
    </row>
    <row r="24" spans="1:13" s="102" customFormat="1" ht="50.25" customHeight="1">
      <c r="A24" s="223"/>
      <c r="B24" s="169"/>
      <c r="C24" s="169"/>
      <c r="D24" s="12">
        <v>2019</v>
      </c>
      <c r="E24" s="33">
        <f t="shared" si="0"/>
        <v>254.77999999999997</v>
      </c>
      <c r="F24" s="33"/>
      <c r="G24" s="33">
        <f t="shared" si="1"/>
        <v>0</v>
      </c>
      <c r="H24" s="34"/>
      <c r="I24" s="35">
        <v>0</v>
      </c>
      <c r="J24" s="33">
        <f>363.78-1.1-12.25-15.357-19-61.293</f>
        <v>254.77999999999997</v>
      </c>
      <c r="K24" s="36"/>
      <c r="L24" s="11" t="s">
        <v>30</v>
      </c>
      <c r="M24" s="169"/>
    </row>
    <row r="25" spans="1:13" s="102" customFormat="1" ht="59.25" customHeight="1">
      <c r="A25" s="223"/>
      <c r="B25" s="169"/>
      <c r="C25" s="169"/>
      <c r="D25" s="12">
        <v>2020</v>
      </c>
      <c r="E25" s="33">
        <f t="shared" si="0"/>
        <v>350.42999999999995</v>
      </c>
      <c r="F25" s="33"/>
      <c r="G25" s="33">
        <f t="shared" si="1"/>
        <v>0</v>
      </c>
      <c r="H25" s="34"/>
      <c r="I25" s="35">
        <v>0</v>
      </c>
      <c r="J25" s="33">
        <f>363.78-1.1-12.25</f>
        <v>350.42999999999995</v>
      </c>
      <c r="K25" s="36"/>
      <c r="L25" s="11" t="s">
        <v>30</v>
      </c>
      <c r="M25" s="169"/>
    </row>
    <row r="26" spans="1:13" s="102" customFormat="1" ht="59.25" customHeight="1">
      <c r="A26" s="223"/>
      <c r="B26" s="169"/>
      <c r="C26" s="169"/>
      <c r="D26" s="12">
        <v>2021</v>
      </c>
      <c r="E26" s="33">
        <f>F26+I26+J26+K26</f>
        <v>0</v>
      </c>
      <c r="F26" s="33"/>
      <c r="G26" s="33">
        <f>H26+I26</f>
        <v>0</v>
      </c>
      <c r="H26" s="34"/>
      <c r="I26" s="35">
        <v>0</v>
      </c>
      <c r="J26" s="35">
        <v>0</v>
      </c>
      <c r="K26" s="36"/>
      <c r="L26" s="11"/>
      <c r="M26" s="169"/>
    </row>
    <row r="27" spans="1:13" s="102" customFormat="1" ht="57.75" customHeight="1">
      <c r="A27" s="223"/>
      <c r="B27" s="169"/>
      <c r="C27" s="169"/>
      <c r="D27" s="12">
        <v>2022</v>
      </c>
      <c r="E27" s="33">
        <f t="shared" si="0"/>
        <v>0</v>
      </c>
      <c r="F27" s="33"/>
      <c r="G27" s="33">
        <f t="shared" si="1"/>
        <v>0</v>
      </c>
      <c r="H27" s="34"/>
      <c r="I27" s="35">
        <v>0</v>
      </c>
      <c r="J27" s="35">
        <v>0</v>
      </c>
      <c r="K27" s="36"/>
      <c r="L27" s="11" t="s">
        <v>30</v>
      </c>
      <c r="M27" s="169"/>
    </row>
    <row r="28" spans="1:13" s="102" customFormat="1" ht="45.75" customHeight="1">
      <c r="A28" s="109" t="s">
        <v>155</v>
      </c>
      <c r="B28" s="169" t="s">
        <v>156</v>
      </c>
      <c r="C28" s="169"/>
      <c r="D28" s="12">
        <v>2019</v>
      </c>
      <c r="E28" s="33">
        <f t="shared" si="0"/>
        <v>1.1</v>
      </c>
      <c r="F28" s="33"/>
      <c r="G28" s="33">
        <f t="shared" si="1"/>
        <v>0</v>
      </c>
      <c r="H28" s="34"/>
      <c r="I28" s="35">
        <v>0</v>
      </c>
      <c r="J28" s="33">
        <v>1.1</v>
      </c>
      <c r="K28" s="36"/>
      <c r="L28" s="11"/>
      <c r="M28" s="32"/>
    </row>
    <row r="29" spans="1:13" s="102" customFormat="1" ht="45.75" customHeight="1">
      <c r="A29" s="109"/>
      <c r="B29" s="169" t="s">
        <v>156</v>
      </c>
      <c r="C29" s="169"/>
      <c r="D29" s="12">
        <v>2020</v>
      </c>
      <c r="E29" s="33">
        <f>F29+I29+J29+K29</f>
        <v>1.1</v>
      </c>
      <c r="F29" s="33"/>
      <c r="G29" s="33">
        <f>H29+I29</f>
        <v>0</v>
      </c>
      <c r="H29" s="34"/>
      <c r="I29" s="35">
        <v>0</v>
      </c>
      <c r="J29" s="33">
        <v>1.1</v>
      </c>
      <c r="K29" s="36"/>
      <c r="L29" s="11"/>
      <c r="M29" s="32"/>
    </row>
    <row r="30" spans="1:13" s="102" customFormat="1" ht="24.75" customHeight="1">
      <c r="A30" s="223" t="s">
        <v>76</v>
      </c>
      <c r="B30" s="169" t="s">
        <v>77</v>
      </c>
      <c r="C30" s="169"/>
      <c r="D30" s="12">
        <v>2017</v>
      </c>
      <c r="E30" s="37">
        <f aca="true" t="shared" si="2" ref="E30:E36">F30+G30+J30+K30</f>
        <v>11</v>
      </c>
      <c r="F30" s="37"/>
      <c r="G30" s="38">
        <f aca="true" t="shared" si="3" ref="G30:G37">H30+I30</f>
        <v>0</v>
      </c>
      <c r="H30" s="39"/>
      <c r="I30" s="40">
        <v>0</v>
      </c>
      <c r="J30" s="40">
        <f>11</f>
        <v>11</v>
      </c>
      <c r="K30" s="41"/>
      <c r="L30" s="11" t="s">
        <v>5</v>
      </c>
      <c r="M30" s="169" t="s">
        <v>56</v>
      </c>
    </row>
    <row r="31" spans="1:13" s="102" customFormat="1" ht="24.75" customHeight="1">
      <c r="A31" s="223"/>
      <c r="B31" s="169"/>
      <c r="C31" s="169"/>
      <c r="D31" s="12">
        <v>2018</v>
      </c>
      <c r="E31" s="37">
        <f t="shared" si="2"/>
        <v>0</v>
      </c>
      <c r="F31" s="37"/>
      <c r="G31" s="38">
        <f t="shared" si="3"/>
        <v>0</v>
      </c>
      <c r="H31" s="39"/>
      <c r="I31" s="40">
        <v>0</v>
      </c>
      <c r="J31" s="40">
        <v>0</v>
      </c>
      <c r="K31" s="41"/>
      <c r="L31" s="11" t="s">
        <v>4</v>
      </c>
      <c r="M31" s="169"/>
    </row>
    <row r="32" spans="1:13" s="102" customFormat="1" ht="24.75" customHeight="1">
      <c r="A32" s="223"/>
      <c r="B32" s="169"/>
      <c r="C32" s="169"/>
      <c r="D32" s="12">
        <v>2019</v>
      </c>
      <c r="E32" s="37">
        <f t="shared" si="2"/>
        <v>0</v>
      </c>
      <c r="F32" s="37"/>
      <c r="G32" s="38">
        <f t="shared" si="3"/>
        <v>0</v>
      </c>
      <c r="H32" s="39"/>
      <c r="I32" s="40">
        <v>0</v>
      </c>
      <c r="J32" s="40">
        <v>0</v>
      </c>
      <c r="K32" s="41"/>
      <c r="L32" s="11" t="s">
        <v>4</v>
      </c>
      <c r="M32" s="169"/>
    </row>
    <row r="33" spans="1:13" s="102" customFormat="1" ht="24.75" customHeight="1">
      <c r="A33" s="223"/>
      <c r="B33" s="169"/>
      <c r="C33" s="169"/>
      <c r="D33" s="12">
        <v>2020</v>
      </c>
      <c r="E33" s="37">
        <f t="shared" si="2"/>
        <v>0</v>
      </c>
      <c r="F33" s="37"/>
      <c r="G33" s="38">
        <f t="shared" si="3"/>
        <v>0</v>
      </c>
      <c r="H33" s="39"/>
      <c r="I33" s="40">
        <v>0</v>
      </c>
      <c r="J33" s="40">
        <v>0</v>
      </c>
      <c r="K33" s="41"/>
      <c r="L33" s="11" t="s">
        <v>4</v>
      </c>
      <c r="M33" s="169"/>
    </row>
    <row r="34" spans="1:13" s="102" customFormat="1" ht="24.75" customHeight="1">
      <c r="A34" s="223"/>
      <c r="B34" s="169"/>
      <c r="C34" s="169"/>
      <c r="D34" s="12">
        <v>2021</v>
      </c>
      <c r="E34" s="37">
        <f>F34+G34+J34+K34</f>
        <v>0</v>
      </c>
      <c r="F34" s="37"/>
      <c r="G34" s="38">
        <f>H34+I34</f>
        <v>0</v>
      </c>
      <c r="H34" s="39"/>
      <c r="I34" s="40">
        <v>0</v>
      </c>
      <c r="J34" s="40">
        <v>0</v>
      </c>
      <c r="K34" s="41"/>
      <c r="L34" s="11"/>
      <c r="M34" s="169"/>
    </row>
    <row r="35" spans="1:13" s="102" customFormat="1" ht="24.75" customHeight="1">
      <c r="A35" s="223"/>
      <c r="B35" s="169"/>
      <c r="C35" s="169"/>
      <c r="D35" s="12">
        <v>2022</v>
      </c>
      <c r="E35" s="37">
        <f t="shared" si="2"/>
        <v>0</v>
      </c>
      <c r="F35" s="37"/>
      <c r="G35" s="38">
        <f t="shared" si="3"/>
        <v>0</v>
      </c>
      <c r="H35" s="39"/>
      <c r="I35" s="40">
        <v>0</v>
      </c>
      <c r="J35" s="40">
        <v>0</v>
      </c>
      <c r="K35" s="41"/>
      <c r="L35" s="11" t="s">
        <v>4</v>
      </c>
      <c r="M35" s="169"/>
    </row>
    <row r="36" spans="1:13" s="102" customFormat="1" ht="24.75" customHeight="1">
      <c r="A36" s="223" t="s">
        <v>78</v>
      </c>
      <c r="B36" s="231" t="s">
        <v>79</v>
      </c>
      <c r="C36" s="231"/>
      <c r="D36" s="12">
        <v>2017</v>
      </c>
      <c r="E36" s="33">
        <f t="shared" si="2"/>
        <v>34.265</v>
      </c>
      <c r="F36" s="33"/>
      <c r="G36" s="35">
        <f t="shared" si="3"/>
        <v>0</v>
      </c>
      <c r="H36" s="35"/>
      <c r="I36" s="35">
        <v>0</v>
      </c>
      <c r="J36" s="35">
        <f>100-13.94-51.795</f>
        <v>34.265</v>
      </c>
      <c r="K36" s="42"/>
      <c r="L36" s="11" t="s">
        <v>3</v>
      </c>
      <c r="M36" s="169" t="s">
        <v>55</v>
      </c>
    </row>
    <row r="37" spans="1:13" s="102" customFormat="1" ht="24.75" customHeight="1">
      <c r="A37" s="223"/>
      <c r="B37" s="231"/>
      <c r="C37" s="231"/>
      <c r="D37" s="188">
        <v>2018</v>
      </c>
      <c r="E37" s="226">
        <f>F37+G37+J37+K38</f>
        <v>22.85</v>
      </c>
      <c r="F37" s="226"/>
      <c r="G37" s="208">
        <f t="shared" si="3"/>
        <v>0</v>
      </c>
      <c r="H37" s="208"/>
      <c r="I37" s="208">
        <v>0</v>
      </c>
      <c r="J37" s="208">
        <f>5.5+9.25+8.1</f>
        <v>22.85</v>
      </c>
      <c r="K37" s="278"/>
      <c r="L37" s="230" t="s">
        <v>3</v>
      </c>
      <c r="M37" s="169"/>
    </row>
    <row r="38" spans="1:13" s="102" customFormat="1" ht="13.5" customHeight="1">
      <c r="A38" s="223"/>
      <c r="B38" s="231"/>
      <c r="C38" s="231"/>
      <c r="D38" s="188"/>
      <c r="E38" s="226"/>
      <c r="F38" s="226"/>
      <c r="G38" s="208"/>
      <c r="H38" s="208"/>
      <c r="I38" s="208"/>
      <c r="J38" s="208"/>
      <c r="K38" s="279"/>
      <c r="L38" s="230"/>
      <c r="M38" s="169"/>
    </row>
    <row r="39" spans="1:13" s="102" customFormat="1" ht="37.5" customHeight="1">
      <c r="A39" s="223"/>
      <c r="B39" s="231"/>
      <c r="C39" s="231"/>
      <c r="D39" s="12">
        <v>2019</v>
      </c>
      <c r="E39" s="33">
        <f aca="true" t="shared" si="4" ref="E39:E48">F39+G39+J39+K39</f>
        <v>35.1</v>
      </c>
      <c r="F39" s="35"/>
      <c r="G39" s="35">
        <f aca="true" t="shared" si="5" ref="G39:G48">H39+I39</f>
        <v>0</v>
      </c>
      <c r="H39" s="35"/>
      <c r="I39" s="35">
        <v>0</v>
      </c>
      <c r="J39" s="35">
        <f>22.85+12.25</f>
        <v>35.1</v>
      </c>
      <c r="K39" s="43"/>
      <c r="L39" s="11" t="s">
        <v>3</v>
      </c>
      <c r="M39" s="169"/>
    </row>
    <row r="40" spans="1:13" s="102" customFormat="1" ht="29.25" customHeight="1">
      <c r="A40" s="223"/>
      <c r="B40" s="231"/>
      <c r="C40" s="231"/>
      <c r="D40" s="12">
        <v>2020</v>
      </c>
      <c r="E40" s="33">
        <f>F40+G40+J40+K40</f>
        <v>35.1</v>
      </c>
      <c r="F40" s="35"/>
      <c r="G40" s="35">
        <f>H40+I40</f>
        <v>0</v>
      </c>
      <c r="H40" s="35"/>
      <c r="I40" s="35">
        <v>0</v>
      </c>
      <c r="J40" s="35">
        <v>35.1</v>
      </c>
      <c r="K40" s="43"/>
      <c r="L40" s="11" t="s">
        <v>3</v>
      </c>
      <c r="M40" s="32"/>
    </row>
    <row r="41" spans="1:13" s="102" customFormat="1" ht="29.25" customHeight="1">
      <c r="A41" s="223"/>
      <c r="B41" s="231"/>
      <c r="C41" s="231"/>
      <c r="D41" s="12">
        <v>2021</v>
      </c>
      <c r="E41" s="33">
        <f>F41+G41+J41+K41</f>
        <v>0</v>
      </c>
      <c r="F41" s="35"/>
      <c r="G41" s="35">
        <f>H41+I41</f>
        <v>0</v>
      </c>
      <c r="H41" s="35"/>
      <c r="I41" s="35">
        <v>0</v>
      </c>
      <c r="J41" s="35">
        <v>0</v>
      </c>
      <c r="K41" s="43"/>
      <c r="L41" s="11"/>
      <c r="M41" s="32"/>
    </row>
    <row r="42" spans="1:13" s="102" customFormat="1" ht="32.25" customHeight="1">
      <c r="A42" s="223"/>
      <c r="B42" s="231"/>
      <c r="C42" s="231"/>
      <c r="D42" s="12">
        <v>2022</v>
      </c>
      <c r="E42" s="33">
        <f t="shared" si="4"/>
        <v>0</v>
      </c>
      <c r="F42" s="35"/>
      <c r="G42" s="35">
        <f t="shared" si="5"/>
        <v>0</v>
      </c>
      <c r="H42" s="35"/>
      <c r="I42" s="35">
        <v>0</v>
      </c>
      <c r="J42" s="35">
        <v>0</v>
      </c>
      <c r="K42" s="43"/>
      <c r="L42" s="11" t="s">
        <v>3</v>
      </c>
      <c r="M42" s="32"/>
    </row>
    <row r="43" spans="1:13" s="102" customFormat="1" ht="24.75" customHeight="1">
      <c r="A43" s="223" t="s">
        <v>80</v>
      </c>
      <c r="B43" s="169" t="s">
        <v>81</v>
      </c>
      <c r="C43" s="169"/>
      <c r="D43" s="12">
        <v>2017</v>
      </c>
      <c r="E43" s="33">
        <f t="shared" si="4"/>
        <v>65.3997</v>
      </c>
      <c r="F43" s="35"/>
      <c r="G43" s="35">
        <f t="shared" si="5"/>
        <v>0</v>
      </c>
      <c r="H43" s="34"/>
      <c r="I43" s="35">
        <v>0</v>
      </c>
      <c r="J43" s="35">
        <f>70-4.6003</f>
        <v>65.3997</v>
      </c>
      <c r="K43" s="36"/>
      <c r="L43" s="11" t="s">
        <v>5</v>
      </c>
      <c r="M43" s="169" t="s">
        <v>54</v>
      </c>
    </row>
    <row r="44" spans="1:13" s="102" customFormat="1" ht="24.75" customHeight="1">
      <c r="A44" s="223"/>
      <c r="B44" s="169"/>
      <c r="C44" s="169"/>
      <c r="D44" s="12">
        <v>2018</v>
      </c>
      <c r="E44" s="33">
        <f t="shared" si="4"/>
        <v>60</v>
      </c>
      <c r="F44" s="35"/>
      <c r="G44" s="33">
        <f t="shared" si="5"/>
        <v>0</v>
      </c>
      <c r="H44" s="34"/>
      <c r="I44" s="35">
        <v>0</v>
      </c>
      <c r="J44" s="35">
        <v>60</v>
      </c>
      <c r="K44" s="36"/>
      <c r="L44" s="11" t="s">
        <v>5</v>
      </c>
      <c r="M44" s="169"/>
    </row>
    <row r="45" spans="1:13" s="102" customFormat="1" ht="24.75" customHeight="1">
      <c r="A45" s="223"/>
      <c r="B45" s="169"/>
      <c r="C45" s="169"/>
      <c r="D45" s="12">
        <v>2019</v>
      </c>
      <c r="E45" s="33">
        <f t="shared" si="4"/>
        <v>60</v>
      </c>
      <c r="F45" s="35"/>
      <c r="G45" s="33">
        <f t="shared" si="5"/>
        <v>0</v>
      </c>
      <c r="H45" s="34"/>
      <c r="I45" s="35">
        <v>0</v>
      </c>
      <c r="J45" s="35">
        <v>60</v>
      </c>
      <c r="K45" s="36"/>
      <c r="L45" s="11" t="s">
        <v>5</v>
      </c>
      <c r="M45" s="169"/>
    </row>
    <row r="46" spans="1:13" s="102" customFormat="1" ht="24.75" customHeight="1">
      <c r="A46" s="223"/>
      <c r="B46" s="169"/>
      <c r="C46" s="169"/>
      <c r="D46" s="12">
        <v>2020</v>
      </c>
      <c r="E46" s="33">
        <f>F46+G46+J46+K46</f>
        <v>60</v>
      </c>
      <c r="F46" s="35"/>
      <c r="G46" s="33">
        <f>H46+I46</f>
        <v>0</v>
      </c>
      <c r="H46" s="34"/>
      <c r="I46" s="35">
        <v>0</v>
      </c>
      <c r="J46" s="35">
        <v>60</v>
      </c>
      <c r="K46" s="36"/>
      <c r="L46" s="11" t="s">
        <v>5</v>
      </c>
      <c r="M46" s="169"/>
    </row>
    <row r="47" spans="1:13" s="102" customFormat="1" ht="24.75" customHeight="1">
      <c r="A47" s="223"/>
      <c r="B47" s="169"/>
      <c r="C47" s="169"/>
      <c r="D47" s="12">
        <v>2021</v>
      </c>
      <c r="E47" s="33">
        <f>F47+G47+J47+K47</f>
        <v>0</v>
      </c>
      <c r="F47" s="35"/>
      <c r="G47" s="33">
        <f>H47+I47</f>
        <v>0</v>
      </c>
      <c r="H47" s="34"/>
      <c r="I47" s="35">
        <v>0</v>
      </c>
      <c r="J47" s="35">
        <v>0</v>
      </c>
      <c r="K47" s="36"/>
      <c r="L47" s="11"/>
      <c r="M47" s="169"/>
    </row>
    <row r="48" spans="1:13" s="102" customFormat="1" ht="24.75" customHeight="1">
      <c r="A48" s="223"/>
      <c r="B48" s="169"/>
      <c r="C48" s="169"/>
      <c r="D48" s="12">
        <v>2022</v>
      </c>
      <c r="E48" s="33">
        <f t="shared" si="4"/>
        <v>0</v>
      </c>
      <c r="F48" s="35"/>
      <c r="G48" s="33">
        <f t="shared" si="5"/>
        <v>0</v>
      </c>
      <c r="H48" s="34"/>
      <c r="I48" s="35">
        <v>0</v>
      </c>
      <c r="J48" s="35">
        <v>0</v>
      </c>
      <c r="K48" s="36"/>
      <c r="L48" s="11" t="s">
        <v>5</v>
      </c>
      <c r="M48" s="169"/>
    </row>
    <row r="49" spans="1:13" s="102" customFormat="1" ht="24.75" customHeight="1">
      <c r="A49" s="223" t="s">
        <v>82</v>
      </c>
      <c r="B49" s="169" t="s">
        <v>83</v>
      </c>
      <c r="C49" s="169"/>
      <c r="D49" s="188">
        <v>2017</v>
      </c>
      <c r="E49" s="226">
        <f>F49+G49+J49+K49</f>
        <v>27.52</v>
      </c>
      <c r="F49" s="208"/>
      <c r="G49" s="193">
        <f>H49+I49</f>
        <v>0</v>
      </c>
      <c r="H49" s="226"/>
      <c r="I49" s="208">
        <v>0</v>
      </c>
      <c r="J49" s="208">
        <v>27.52</v>
      </c>
      <c r="K49" s="191"/>
      <c r="L49" s="225" t="s">
        <v>4</v>
      </c>
      <c r="M49" s="169" t="s">
        <v>53</v>
      </c>
    </row>
    <row r="50" spans="1:13" s="102" customFormat="1" ht="4.5" customHeight="1">
      <c r="A50" s="223"/>
      <c r="B50" s="169"/>
      <c r="C50" s="169"/>
      <c r="D50" s="188"/>
      <c r="E50" s="226"/>
      <c r="F50" s="208"/>
      <c r="G50" s="194"/>
      <c r="H50" s="226"/>
      <c r="I50" s="208"/>
      <c r="J50" s="208"/>
      <c r="K50" s="192"/>
      <c r="L50" s="225"/>
      <c r="M50" s="169"/>
    </row>
    <row r="51" spans="1:13" s="102" customFormat="1" ht="24.75" customHeight="1">
      <c r="A51" s="223"/>
      <c r="B51" s="169"/>
      <c r="C51" s="169"/>
      <c r="D51" s="12">
        <v>2018</v>
      </c>
      <c r="E51" s="33">
        <f aca="true" t="shared" si="6" ref="E51:E61">F51+G51+J51+K51</f>
        <v>28.369999999999997</v>
      </c>
      <c r="F51" s="35"/>
      <c r="G51" s="35">
        <f aca="true" t="shared" si="7" ref="G51:G61">H51+I51</f>
        <v>0</v>
      </c>
      <c r="H51" s="34"/>
      <c r="I51" s="35">
        <v>0</v>
      </c>
      <c r="J51" s="35">
        <f>70-41.63</f>
        <v>28.369999999999997</v>
      </c>
      <c r="K51" s="36"/>
      <c r="L51" s="14" t="s">
        <v>4</v>
      </c>
      <c r="M51" s="169"/>
    </row>
    <row r="52" spans="1:13" s="102" customFormat="1" ht="24.75" customHeight="1">
      <c r="A52" s="223"/>
      <c r="B52" s="169"/>
      <c r="C52" s="169"/>
      <c r="D52" s="12">
        <v>2019</v>
      </c>
      <c r="E52" s="33">
        <f t="shared" si="6"/>
        <v>28.37</v>
      </c>
      <c r="F52" s="35"/>
      <c r="G52" s="35">
        <f t="shared" si="7"/>
        <v>0</v>
      </c>
      <c r="H52" s="34"/>
      <c r="I52" s="35">
        <v>0</v>
      </c>
      <c r="J52" s="35">
        <v>28.37</v>
      </c>
      <c r="K52" s="36"/>
      <c r="L52" s="14" t="s">
        <v>4</v>
      </c>
      <c r="M52" s="169"/>
    </row>
    <row r="53" spans="1:13" s="102" customFormat="1" ht="24.75" customHeight="1">
      <c r="A53" s="223"/>
      <c r="B53" s="169"/>
      <c r="C53" s="169"/>
      <c r="D53" s="12">
        <v>2020</v>
      </c>
      <c r="E53" s="33">
        <f t="shared" si="6"/>
        <v>28.37</v>
      </c>
      <c r="F53" s="35"/>
      <c r="G53" s="35">
        <f t="shared" si="7"/>
        <v>0</v>
      </c>
      <c r="H53" s="34"/>
      <c r="I53" s="35">
        <v>0</v>
      </c>
      <c r="J53" s="35">
        <v>28.37</v>
      </c>
      <c r="K53" s="36"/>
      <c r="L53" s="14" t="s">
        <v>4</v>
      </c>
      <c r="M53" s="169"/>
    </row>
    <row r="54" spans="1:13" s="102" customFormat="1" ht="24.75" customHeight="1">
      <c r="A54" s="223"/>
      <c r="B54" s="169"/>
      <c r="C54" s="169"/>
      <c r="D54" s="12">
        <v>2021</v>
      </c>
      <c r="E54" s="33">
        <f>F54+G54+J54+K54</f>
        <v>0</v>
      </c>
      <c r="F54" s="35"/>
      <c r="G54" s="35">
        <f>H54+I54</f>
        <v>0</v>
      </c>
      <c r="H54" s="34"/>
      <c r="I54" s="35">
        <v>0</v>
      </c>
      <c r="J54" s="35">
        <v>0</v>
      </c>
      <c r="K54" s="36"/>
      <c r="L54" s="14" t="s">
        <v>4</v>
      </c>
      <c r="M54" s="169"/>
    </row>
    <row r="55" spans="1:13" s="102" customFormat="1" ht="24.75" customHeight="1">
      <c r="A55" s="223"/>
      <c r="B55" s="169"/>
      <c r="C55" s="169"/>
      <c r="D55" s="12">
        <v>2022</v>
      </c>
      <c r="E55" s="33">
        <f t="shared" si="6"/>
        <v>0</v>
      </c>
      <c r="F55" s="35"/>
      <c r="G55" s="35">
        <f t="shared" si="7"/>
        <v>0</v>
      </c>
      <c r="H55" s="34"/>
      <c r="I55" s="35">
        <v>0</v>
      </c>
      <c r="J55" s="35">
        <v>0</v>
      </c>
      <c r="K55" s="36"/>
      <c r="L55" s="14" t="s">
        <v>4</v>
      </c>
      <c r="M55" s="169"/>
    </row>
    <row r="56" spans="1:13" s="102" customFormat="1" ht="24.75" customHeight="1">
      <c r="A56" s="223" t="s">
        <v>84</v>
      </c>
      <c r="B56" s="170" t="s">
        <v>179</v>
      </c>
      <c r="C56" s="171"/>
      <c r="D56" s="12">
        <v>2017</v>
      </c>
      <c r="E56" s="33">
        <f t="shared" si="6"/>
        <v>50</v>
      </c>
      <c r="F56" s="35"/>
      <c r="G56" s="35">
        <f t="shared" si="7"/>
        <v>50</v>
      </c>
      <c r="H56" s="45"/>
      <c r="I56" s="21">
        <v>50</v>
      </c>
      <c r="J56" s="35">
        <v>0</v>
      </c>
      <c r="K56" s="46"/>
      <c r="L56" s="11" t="s">
        <v>35</v>
      </c>
      <c r="M56" s="227" t="s">
        <v>52</v>
      </c>
    </row>
    <row r="57" spans="1:13" s="102" customFormat="1" ht="24.75" customHeight="1">
      <c r="A57" s="223"/>
      <c r="B57" s="172"/>
      <c r="C57" s="173"/>
      <c r="D57" s="12">
        <v>2018</v>
      </c>
      <c r="E57" s="33">
        <f t="shared" si="6"/>
        <v>0</v>
      </c>
      <c r="F57" s="35"/>
      <c r="G57" s="35">
        <f t="shared" si="7"/>
        <v>0</v>
      </c>
      <c r="H57" s="35"/>
      <c r="I57" s="35">
        <v>0</v>
      </c>
      <c r="J57" s="35">
        <v>0</v>
      </c>
      <c r="K57" s="46"/>
      <c r="L57" s="11"/>
      <c r="M57" s="228"/>
    </row>
    <row r="58" spans="1:13" s="102" customFormat="1" ht="24.75" customHeight="1">
      <c r="A58" s="223"/>
      <c r="B58" s="172"/>
      <c r="C58" s="173"/>
      <c r="D58" s="12">
        <v>2019</v>
      </c>
      <c r="E58" s="33">
        <f t="shared" si="6"/>
        <v>50</v>
      </c>
      <c r="F58" s="35"/>
      <c r="G58" s="35">
        <f t="shared" si="7"/>
        <v>50</v>
      </c>
      <c r="H58" s="35"/>
      <c r="I58" s="35">
        <v>50</v>
      </c>
      <c r="J58" s="35">
        <v>0</v>
      </c>
      <c r="K58" s="46"/>
      <c r="L58" s="11" t="s">
        <v>21</v>
      </c>
      <c r="M58" s="228"/>
    </row>
    <row r="59" spans="1:13" s="102" customFormat="1" ht="24.75" customHeight="1">
      <c r="A59" s="223"/>
      <c r="B59" s="172"/>
      <c r="C59" s="173"/>
      <c r="D59" s="12">
        <v>2020</v>
      </c>
      <c r="E59" s="33">
        <f>F59+G59+J59+K59</f>
        <v>0</v>
      </c>
      <c r="F59" s="35"/>
      <c r="G59" s="35">
        <f>H59+I59</f>
        <v>0</v>
      </c>
      <c r="H59" s="35"/>
      <c r="I59" s="35">
        <v>0</v>
      </c>
      <c r="J59" s="35">
        <v>0</v>
      </c>
      <c r="K59" s="46"/>
      <c r="L59" s="11"/>
      <c r="M59" s="228"/>
    </row>
    <row r="60" spans="1:13" s="102" customFormat="1" ht="24.75" customHeight="1">
      <c r="A60" s="223"/>
      <c r="B60" s="172"/>
      <c r="C60" s="173"/>
      <c r="D60" s="12">
        <v>2021</v>
      </c>
      <c r="E60" s="33">
        <f>F60+G60+J60+K60</f>
        <v>0</v>
      </c>
      <c r="F60" s="35"/>
      <c r="G60" s="35">
        <f>H60+I60</f>
        <v>0</v>
      </c>
      <c r="H60" s="35"/>
      <c r="I60" s="35">
        <v>0</v>
      </c>
      <c r="J60" s="35">
        <v>0</v>
      </c>
      <c r="K60" s="46"/>
      <c r="L60" s="11"/>
      <c r="M60" s="228"/>
    </row>
    <row r="61" spans="1:13" s="102" customFormat="1" ht="24.75" customHeight="1">
      <c r="A61" s="223"/>
      <c r="B61" s="174"/>
      <c r="C61" s="175"/>
      <c r="D61" s="12">
        <v>2022</v>
      </c>
      <c r="E61" s="33">
        <f t="shared" si="6"/>
        <v>0</v>
      </c>
      <c r="F61" s="35"/>
      <c r="G61" s="35">
        <f t="shared" si="7"/>
        <v>0</v>
      </c>
      <c r="H61" s="35"/>
      <c r="I61" s="35">
        <v>0</v>
      </c>
      <c r="J61" s="35">
        <v>0</v>
      </c>
      <c r="K61" s="46"/>
      <c r="L61" s="11"/>
      <c r="M61" s="229"/>
    </row>
    <row r="62" spans="1:13" s="102" customFormat="1" ht="24.75" customHeight="1">
      <c r="A62" s="195" t="s">
        <v>85</v>
      </c>
      <c r="B62" s="215" t="s">
        <v>86</v>
      </c>
      <c r="C62" s="216"/>
      <c r="D62" s="189">
        <v>2017</v>
      </c>
      <c r="E62" s="190">
        <f>F62+G62+J62+K62</f>
        <v>627.047</v>
      </c>
      <c r="F62" s="33"/>
      <c r="G62" s="33">
        <f aca="true" t="shared" si="8" ref="G62:G69">H62+I62</f>
        <v>0</v>
      </c>
      <c r="H62" s="22">
        <f>H63+H64+H65+H66+H67+H68</f>
        <v>0</v>
      </c>
      <c r="I62" s="33">
        <f>I63+I64+I65+I66+I67+I68</f>
        <v>0</v>
      </c>
      <c r="J62" s="33">
        <f>J63+J64+J65+J66+J67+J68</f>
        <v>627.047</v>
      </c>
      <c r="K62" s="33">
        <f>K63+K64+K65+K66+K67+K68</f>
        <v>0</v>
      </c>
      <c r="L62" s="11"/>
      <c r="M62" s="169" t="s">
        <v>67</v>
      </c>
    </row>
    <row r="63" spans="1:13" s="102" customFormat="1" ht="27" customHeight="1">
      <c r="A63" s="196"/>
      <c r="B63" s="169"/>
      <c r="C63" s="217"/>
      <c r="D63" s="189"/>
      <c r="E63" s="190"/>
      <c r="F63" s="33"/>
      <c r="G63" s="33">
        <f t="shared" si="8"/>
        <v>0</v>
      </c>
      <c r="H63" s="33"/>
      <c r="I63" s="35"/>
      <c r="J63" s="35">
        <f>50+13.94</f>
        <v>63.94</v>
      </c>
      <c r="K63" s="36"/>
      <c r="L63" s="11" t="s">
        <v>182</v>
      </c>
      <c r="M63" s="169"/>
    </row>
    <row r="64" spans="1:13" s="102" customFormat="1" ht="24.75" customHeight="1">
      <c r="A64" s="196"/>
      <c r="B64" s="169"/>
      <c r="C64" s="217"/>
      <c r="D64" s="189"/>
      <c r="E64" s="190"/>
      <c r="F64" s="33"/>
      <c r="G64" s="33">
        <f t="shared" si="8"/>
        <v>0</v>
      </c>
      <c r="H64" s="34"/>
      <c r="I64" s="35"/>
      <c r="J64" s="35">
        <v>113.23</v>
      </c>
      <c r="K64" s="36"/>
      <c r="L64" s="11" t="s">
        <v>15</v>
      </c>
      <c r="M64" s="169"/>
    </row>
    <row r="65" spans="1:13" s="102" customFormat="1" ht="24.75" customHeight="1">
      <c r="A65" s="196"/>
      <c r="B65" s="169"/>
      <c r="C65" s="217"/>
      <c r="D65" s="189"/>
      <c r="E65" s="190"/>
      <c r="F65" s="33"/>
      <c r="G65" s="33">
        <f t="shared" si="8"/>
        <v>0</v>
      </c>
      <c r="H65" s="34"/>
      <c r="I65" s="35"/>
      <c r="J65" s="35">
        <v>205.427</v>
      </c>
      <c r="K65" s="36"/>
      <c r="L65" s="11" t="s">
        <v>23</v>
      </c>
      <c r="M65" s="169"/>
    </row>
    <row r="66" spans="1:13" s="102" customFormat="1" ht="24.75" customHeight="1">
      <c r="A66" s="196"/>
      <c r="B66" s="169"/>
      <c r="C66" s="217"/>
      <c r="D66" s="189"/>
      <c r="E66" s="190"/>
      <c r="F66" s="33"/>
      <c r="G66" s="33">
        <f t="shared" si="8"/>
        <v>0</v>
      </c>
      <c r="H66" s="34"/>
      <c r="I66" s="35"/>
      <c r="J66" s="35">
        <v>13.23</v>
      </c>
      <c r="K66" s="36"/>
      <c r="L66" s="11" t="s">
        <v>12</v>
      </c>
      <c r="M66" s="169"/>
    </row>
    <row r="67" spans="1:13" s="102" customFormat="1" ht="24.75" customHeight="1">
      <c r="A67" s="196"/>
      <c r="B67" s="169"/>
      <c r="C67" s="217"/>
      <c r="D67" s="189"/>
      <c r="E67" s="190"/>
      <c r="F67" s="33"/>
      <c r="G67" s="33">
        <f t="shared" si="8"/>
        <v>0</v>
      </c>
      <c r="H67" s="34"/>
      <c r="I67" s="35"/>
      <c r="J67" s="35">
        <v>161.09</v>
      </c>
      <c r="K67" s="36"/>
      <c r="L67" s="11" t="s">
        <v>24</v>
      </c>
      <c r="M67" s="169"/>
    </row>
    <row r="68" spans="1:13" s="102" customFormat="1" ht="24.75" customHeight="1">
      <c r="A68" s="196"/>
      <c r="B68" s="169"/>
      <c r="C68" s="217"/>
      <c r="D68" s="189"/>
      <c r="E68" s="190"/>
      <c r="F68" s="33"/>
      <c r="G68" s="33">
        <f t="shared" si="8"/>
        <v>0</v>
      </c>
      <c r="H68" s="34"/>
      <c r="I68" s="35"/>
      <c r="J68" s="35">
        <f>15.18+18+36.45+0.5</f>
        <v>70.13</v>
      </c>
      <c r="K68" s="36"/>
      <c r="L68" s="11" t="s">
        <v>25</v>
      </c>
      <c r="M68" s="169"/>
    </row>
    <row r="69" spans="1:13" s="102" customFormat="1" ht="24.75" customHeight="1">
      <c r="A69" s="196"/>
      <c r="B69" s="169"/>
      <c r="C69" s="217"/>
      <c r="D69" s="189">
        <v>2018</v>
      </c>
      <c r="E69" s="190">
        <f>F69+G69+J69+K69</f>
        <v>2781.9159799999998</v>
      </c>
      <c r="F69" s="19"/>
      <c r="G69" s="19">
        <f t="shared" si="8"/>
        <v>0</v>
      </c>
      <c r="H69" s="19">
        <f>H70+H71+H72+H73+H74+H75+H76</f>
        <v>0</v>
      </c>
      <c r="I69" s="19">
        <f>I70+I71+I72+I73+I74+I75+I76</f>
        <v>0</v>
      </c>
      <c r="J69" s="19">
        <f>J70+J71+J72+J73+J74+J75+J76</f>
        <v>2781.9159799999998</v>
      </c>
      <c r="K69" s="19">
        <f>K70+K71+K72+K73+K74+K75+K76</f>
        <v>0</v>
      </c>
      <c r="L69" s="11"/>
      <c r="M69" s="169"/>
    </row>
    <row r="70" spans="1:13" s="102" customFormat="1" ht="26.25" customHeight="1">
      <c r="A70" s="196"/>
      <c r="B70" s="169"/>
      <c r="C70" s="217"/>
      <c r="D70" s="189"/>
      <c r="E70" s="190"/>
      <c r="F70" s="19"/>
      <c r="G70" s="10">
        <f aca="true" t="shared" si="9" ref="G70:G87">H70+I70</f>
        <v>0</v>
      </c>
      <c r="H70" s="19"/>
      <c r="I70" s="10"/>
      <c r="J70" s="10">
        <v>0</v>
      </c>
      <c r="K70" s="20"/>
      <c r="L70" s="11" t="s">
        <v>182</v>
      </c>
      <c r="M70" s="169"/>
    </row>
    <row r="71" spans="1:13" s="102" customFormat="1" ht="24.75" customHeight="1">
      <c r="A71" s="196"/>
      <c r="B71" s="169"/>
      <c r="C71" s="217"/>
      <c r="D71" s="189"/>
      <c r="E71" s="190"/>
      <c r="F71" s="19"/>
      <c r="G71" s="10">
        <f t="shared" si="9"/>
        <v>0</v>
      </c>
      <c r="H71" s="19"/>
      <c r="I71" s="10"/>
      <c r="J71" s="10">
        <f>12.64+1186-181.18-36.69771</f>
        <v>980.76229</v>
      </c>
      <c r="K71" s="20"/>
      <c r="L71" s="11" t="s">
        <v>15</v>
      </c>
      <c r="M71" s="169"/>
    </row>
    <row r="72" spans="1:13" s="102" customFormat="1" ht="24.75" customHeight="1">
      <c r="A72" s="196"/>
      <c r="B72" s="169"/>
      <c r="C72" s="217"/>
      <c r="D72" s="189"/>
      <c r="E72" s="190"/>
      <c r="F72" s="19"/>
      <c r="G72" s="10">
        <f t="shared" si="9"/>
        <v>0</v>
      </c>
      <c r="H72" s="19"/>
      <c r="I72" s="10"/>
      <c r="J72" s="10">
        <f>12.64+445+788.79-277.21131</f>
        <v>969.2186899999998</v>
      </c>
      <c r="K72" s="20"/>
      <c r="L72" s="11" t="s">
        <v>23</v>
      </c>
      <c r="M72" s="169"/>
    </row>
    <row r="73" spans="1:13" s="102" customFormat="1" ht="24.75" customHeight="1">
      <c r="A73" s="196"/>
      <c r="B73" s="169"/>
      <c r="C73" s="217"/>
      <c r="D73" s="189"/>
      <c r="E73" s="190"/>
      <c r="F73" s="19"/>
      <c r="G73" s="10">
        <f t="shared" si="9"/>
        <v>0</v>
      </c>
      <c r="H73" s="19"/>
      <c r="I73" s="10"/>
      <c r="J73" s="10">
        <f>12.64+437.6-55.429</f>
        <v>394.81100000000004</v>
      </c>
      <c r="K73" s="20"/>
      <c r="L73" s="11" t="s">
        <v>12</v>
      </c>
      <c r="M73" s="169"/>
    </row>
    <row r="74" spans="1:13" s="102" customFormat="1" ht="24.75" customHeight="1">
      <c r="A74" s="196"/>
      <c r="B74" s="169"/>
      <c r="C74" s="217"/>
      <c r="D74" s="189"/>
      <c r="E74" s="190"/>
      <c r="F74" s="19"/>
      <c r="G74" s="10">
        <f t="shared" si="9"/>
        <v>0</v>
      </c>
      <c r="H74" s="19"/>
      <c r="I74" s="10"/>
      <c r="J74" s="10">
        <f>30.36+107+120+26.184</f>
        <v>283.54400000000004</v>
      </c>
      <c r="K74" s="20"/>
      <c r="L74" s="11" t="s">
        <v>24</v>
      </c>
      <c r="M74" s="169"/>
    </row>
    <row r="75" spans="1:13" s="102" customFormat="1" ht="24.75" customHeight="1">
      <c r="A75" s="196"/>
      <c r="B75" s="169"/>
      <c r="C75" s="217"/>
      <c r="D75" s="189"/>
      <c r="E75" s="190"/>
      <c r="F75" s="19"/>
      <c r="G75" s="10">
        <f t="shared" si="9"/>
        <v>0</v>
      </c>
      <c r="H75" s="19"/>
      <c r="I75" s="10"/>
      <c r="J75" s="10">
        <f>15.18+165-26.6</f>
        <v>153.58</v>
      </c>
      <c r="K75" s="20"/>
      <c r="L75" s="11" t="s">
        <v>25</v>
      </c>
      <c r="M75" s="169"/>
    </row>
    <row r="76" spans="1:13" s="102" customFormat="1" ht="24.75" customHeight="1">
      <c r="A76" s="196"/>
      <c r="B76" s="169"/>
      <c r="C76" s="217"/>
      <c r="D76" s="189"/>
      <c r="E76" s="190"/>
      <c r="F76" s="19"/>
      <c r="G76" s="10">
        <f t="shared" si="9"/>
        <v>0</v>
      </c>
      <c r="H76" s="19"/>
      <c r="I76" s="10"/>
      <c r="J76" s="10">
        <v>0</v>
      </c>
      <c r="K76" s="20"/>
      <c r="L76" s="11" t="s">
        <v>48</v>
      </c>
      <c r="M76" s="169"/>
    </row>
    <row r="77" spans="1:13" s="102" customFormat="1" ht="24.75" customHeight="1">
      <c r="A77" s="196"/>
      <c r="B77" s="218" t="s">
        <v>134</v>
      </c>
      <c r="C77" s="219"/>
      <c r="D77" s="189">
        <v>2019</v>
      </c>
      <c r="E77" s="190">
        <f>F77+G77+J77+K77</f>
        <v>100.191</v>
      </c>
      <c r="F77" s="19">
        <f aca="true" t="shared" si="10" ref="F77:K77">SUM(F78:F84)</f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100.191</v>
      </c>
      <c r="K77" s="19">
        <f t="shared" si="10"/>
        <v>0</v>
      </c>
      <c r="L77" s="11"/>
      <c r="M77" s="169"/>
    </row>
    <row r="78" spans="1:13" s="102" customFormat="1" ht="24.75" customHeight="1">
      <c r="A78" s="196"/>
      <c r="B78" s="220"/>
      <c r="C78" s="221"/>
      <c r="D78" s="189"/>
      <c r="E78" s="190"/>
      <c r="F78" s="19"/>
      <c r="G78" s="10">
        <f aca="true" t="shared" si="11" ref="G78:G84">H78+I78</f>
        <v>0</v>
      </c>
      <c r="H78" s="19"/>
      <c r="I78" s="10"/>
      <c r="J78" s="10">
        <v>0</v>
      </c>
      <c r="K78" s="20"/>
      <c r="L78" s="11" t="s">
        <v>182</v>
      </c>
      <c r="M78" s="169"/>
    </row>
    <row r="79" spans="1:13" s="102" customFormat="1" ht="24.75" customHeight="1">
      <c r="A79" s="196"/>
      <c r="B79" s="220"/>
      <c r="C79" s="221"/>
      <c r="D79" s="189"/>
      <c r="E79" s="190"/>
      <c r="F79" s="19"/>
      <c r="G79" s="10">
        <f t="shared" si="11"/>
        <v>0</v>
      </c>
      <c r="H79" s="19"/>
      <c r="I79" s="10"/>
      <c r="J79" s="10">
        <v>12.64</v>
      </c>
      <c r="K79" s="20"/>
      <c r="L79" s="11" t="s">
        <v>15</v>
      </c>
      <c r="M79" s="169"/>
    </row>
    <row r="80" spans="1:13" s="102" customFormat="1" ht="24.75" customHeight="1">
      <c r="A80" s="196"/>
      <c r="B80" s="220"/>
      <c r="C80" s="221"/>
      <c r="D80" s="189"/>
      <c r="E80" s="190"/>
      <c r="F80" s="19"/>
      <c r="G80" s="10">
        <f t="shared" si="11"/>
        <v>0</v>
      </c>
      <c r="H80" s="19"/>
      <c r="I80" s="10"/>
      <c r="J80" s="10">
        <v>12.64</v>
      </c>
      <c r="K80" s="20"/>
      <c r="L80" s="11" t="s">
        <v>23</v>
      </c>
      <c r="M80" s="169"/>
    </row>
    <row r="81" spans="1:13" s="102" customFormat="1" ht="24.75" customHeight="1">
      <c r="A81" s="196"/>
      <c r="B81" s="220"/>
      <c r="C81" s="221"/>
      <c r="D81" s="189"/>
      <c r="E81" s="190"/>
      <c r="F81" s="19"/>
      <c r="G81" s="10">
        <f t="shared" si="11"/>
        <v>0</v>
      </c>
      <c r="H81" s="19"/>
      <c r="I81" s="10"/>
      <c r="J81" s="10">
        <v>12.64</v>
      </c>
      <c r="K81" s="20"/>
      <c r="L81" s="11" t="s">
        <v>12</v>
      </c>
      <c r="M81" s="169"/>
    </row>
    <row r="82" spans="1:13" s="102" customFormat="1" ht="24.75" customHeight="1">
      <c r="A82" s="196"/>
      <c r="B82" s="220"/>
      <c r="C82" s="221"/>
      <c r="D82" s="189"/>
      <c r="E82" s="190"/>
      <c r="F82" s="19"/>
      <c r="G82" s="10">
        <f t="shared" si="11"/>
        <v>0</v>
      </c>
      <c r="H82" s="19"/>
      <c r="I82" s="10"/>
      <c r="J82" s="10">
        <v>0</v>
      </c>
      <c r="K82" s="20"/>
      <c r="L82" s="11" t="s">
        <v>188</v>
      </c>
      <c r="M82" s="169"/>
    </row>
    <row r="83" spans="1:13" s="102" customFormat="1" ht="24.75" customHeight="1">
      <c r="A83" s="196"/>
      <c r="B83" s="220"/>
      <c r="C83" s="221"/>
      <c r="D83" s="189"/>
      <c r="E83" s="190"/>
      <c r="F83" s="19"/>
      <c r="G83" s="10">
        <f t="shared" si="11"/>
        <v>0</v>
      </c>
      <c r="H83" s="19"/>
      <c r="I83" s="10"/>
      <c r="J83" s="10">
        <v>30.36</v>
      </c>
      <c r="K83" s="20"/>
      <c r="L83" s="11" t="s">
        <v>24</v>
      </c>
      <c r="M83" s="169"/>
    </row>
    <row r="84" spans="1:13" s="102" customFormat="1" ht="24.75" customHeight="1">
      <c r="A84" s="196"/>
      <c r="B84" s="216"/>
      <c r="C84" s="222"/>
      <c r="D84" s="189"/>
      <c r="E84" s="190"/>
      <c r="F84" s="19"/>
      <c r="G84" s="10">
        <f t="shared" si="11"/>
        <v>0</v>
      </c>
      <c r="H84" s="19"/>
      <c r="I84" s="10"/>
      <c r="J84" s="10">
        <f>15.18+16.731</f>
        <v>31.911</v>
      </c>
      <c r="K84" s="20"/>
      <c r="L84" s="11" t="s">
        <v>25</v>
      </c>
      <c r="M84" s="169"/>
    </row>
    <row r="85" spans="1:13" s="102" customFormat="1" ht="26.25" customHeight="1">
      <c r="A85" s="197"/>
      <c r="B85" s="218" t="s">
        <v>134</v>
      </c>
      <c r="C85" s="219"/>
      <c r="D85" s="189">
        <v>2020</v>
      </c>
      <c r="E85" s="190">
        <f>F85+G85+J85+K85</f>
        <v>184.76</v>
      </c>
      <c r="F85" s="19">
        <f aca="true" t="shared" si="12" ref="F85:K85">SUM(F87:F92)</f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184.76</v>
      </c>
      <c r="K85" s="19">
        <f t="shared" si="12"/>
        <v>0</v>
      </c>
      <c r="L85" s="11"/>
      <c r="M85" s="169"/>
    </row>
    <row r="86" spans="1:13" s="102" customFormat="1" ht="21.75" customHeight="1">
      <c r="A86" s="197"/>
      <c r="B86" s="220"/>
      <c r="C86" s="221"/>
      <c r="D86" s="189"/>
      <c r="E86" s="190"/>
      <c r="F86" s="19"/>
      <c r="G86" s="10">
        <f t="shared" si="9"/>
        <v>0</v>
      </c>
      <c r="H86" s="19"/>
      <c r="I86" s="10"/>
      <c r="J86" s="10">
        <v>0</v>
      </c>
      <c r="K86" s="20"/>
      <c r="L86" s="11" t="s">
        <v>182</v>
      </c>
      <c r="M86" s="169"/>
    </row>
    <row r="87" spans="1:13" s="102" customFormat="1" ht="24.75" customHeight="1">
      <c r="A87" s="197"/>
      <c r="B87" s="220"/>
      <c r="C87" s="221"/>
      <c r="D87" s="189"/>
      <c r="E87" s="190"/>
      <c r="F87" s="19"/>
      <c r="G87" s="10">
        <f t="shared" si="9"/>
        <v>0</v>
      </c>
      <c r="H87" s="19"/>
      <c r="I87" s="10"/>
      <c r="J87" s="10">
        <v>29.64</v>
      </c>
      <c r="K87" s="20"/>
      <c r="L87" s="11" t="s">
        <v>15</v>
      </c>
      <c r="M87" s="169"/>
    </row>
    <row r="88" spans="1:13" s="102" customFormat="1" ht="24.75" customHeight="1">
      <c r="A88" s="197"/>
      <c r="B88" s="220"/>
      <c r="C88" s="221"/>
      <c r="D88" s="189"/>
      <c r="E88" s="190"/>
      <c r="F88" s="19"/>
      <c r="G88" s="10">
        <f aca="true" t="shared" si="13" ref="G88:G93">H88+I88</f>
        <v>0</v>
      </c>
      <c r="H88" s="19"/>
      <c r="I88" s="10"/>
      <c r="J88" s="10">
        <v>29.64</v>
      </c>
      <c r="K88" s="20"/>
      <c r="L88" s="11" t="s">
        <v>23</v>
      </c>
      <c r="M88" s="169"/>
    </row>
    <row r="89" spans="1:13" s="102" customFormat="1" ht="24.75" customHeight="1">
      <c r="A89" s="197"/>
      <c r="B89" s="220"/>
      <c r="C89" s="221"/>
      <c r="D89" s="189"/>
      <c r="E89" s="190"/>
      <c r="F89" s="19"/>
      <c r="G89" s="10">
        <f t="shared" si="13"/>
        <v>0</v>
      </c>
      <c r="H89" s="19"/>
      <c r="I89" s="10"/>
      <c r="J89" s="10">
        <v>29.64</v>
      </c>
      <c r="K89" s="20"/>
      <c r="L89" s="11" t="s">
        <v>12</v>
      </c>
      <c r="M89" s="169"/>
    </row>
    <row r="90" spans="1:13" s="102" customFormat="1" ht="24.75" customHeight="1">
      <c r="A90" s="197"/>
      <c r="B90" s="220"/>
      <c r="C90" s="221"/>
      <c r="D90" s="189"/>
      <c r="E90" s="190"/>
      <c r="F90" s="19"/>
      <c r="G90" s="10">
        <f t="shared" si="13"/>
        <v>0</v>
      </c>
      <c r="H90" s="19"/>
      <c r="I90" s="10"/>
      <c r="J90" s="10">
        <v>29.64</v>
      </c>
      <c r="K90" s="20"/>
      <c r="L90" s="11" t="s">
        <v>188</v>
      </c>
      <c r="M90" s="169"/>
    </row>
    <row r="91" spans="1:13" s="102" customFormat="1" ht="24.75" customHeight="1">
      <c r="A91" s="197"/>
      <c r="B91" s="220"/>
      <c r="C91" s="221"/>
      <c r="D91" s="189"/>
      <c r="E91" s="190"/>
      <c r="F91" s="19"/>
      <c r="G91" s="10">
        <f t="shared" si="13"/>
        <v>0</v>
      </c>
      <c r="H91" s="19"/>
      <c r="I91" s="10"/>
      <c r="J91" s="10">
        <v>33.6</v>
      </c>
      <c r="K91" s="20"/>
      <c r="L91" s="11" t="s">
        <v>24</v>
      </c>
      <c r="M91" s="169"/>
    </row>
    <row r="92" spans="1:13" s="102" customFormat="1" ht="24.75" customHeight="1">
      <c r="A92" s="197"/>
      <c r="B92" s="216"/>
      <c r="C92" s="222"/>
      <c r="D92" s="189"/>
      <c r="E92" s="190"/>
      <c r="F92" s="19"/>
      <c r="G92" s="10">
        <f t="shared" si="13"/>
        <v>0</v>
      </c>
      <c r="H92" s="19"/>
      <c r="I92" s="10"/>
      <c r="J92" s="10">
        <v>32.6</v>
      </c>
      <c r="K92" s="20"/>
      <c r="L92" s="11" t="s">
        <v>25</v>
      </c>
      <c r="M92" s="169"/>
    </row>
    <row r="93" spans="1:13" s="102" customFormat="1" ht="36.75" customHeight="1">
      <c r="A93" s="197"/>
      <c r="B93" s="218" t="s">
        <v>135</v>
      </c>
      <c r="C93" s="232"/>
      <c r="D93" s="199">
        <v>2019</v>
      </c>
      <c r="E93" s="190">
        <f>F93+G93+J93+K93</f>
        <v>47.04</v>
      </c>
      <c r="F93" s="19">
        <f>SUM(F94:F99)</f>
        <v>0</v>
      </c>
      <c r="G93" s="10">
        <f t="shared" si="13"/>
        <v>0</v>
      </c>
      <c r="H93" s="19">
        <f>SUM(H94:H99)</f>
        <v>0</v>
      </c>
      <c r="I93" s="19">
        <f>SUM(I94:I99)</f>
        <v>0</v>
      </c>
      <c r="J93" s="19">
        <f>SUM(J94:J99)</f>
        <v>47.04</v>
      </c>
      <c r="K93" s="48"/>
      <c r="L93" s="11"/>
      <c r="M93" s="169"/>
    </row>
    <row r="94" spans="1:13" s="102" customFormat="1" ht="24.75" customHeight="1">
      <c r="A94" s="197"/>
      <c r="B94" s="220"/>
      <c r="C94" s="233"/>
      <c r="D94" s="200"/>
      <c r="E94" s="190"/>
      <c r="F94" s="19"/>
      <c r="G94" s="10">
        <f aca="true" t="shared" si="14" ref="G94:G99">H94+I94</f>
        <v>0</v>
      </c>
      <c r="H94" s="19"/>
      <c r="I94" s="10"/>
      <c r="J94" s="10">
        <v>4.5</v>
      </c>
      <c r="K94" s="20"/>
      <c r="L94" s="11" t="s">
        <v>136</v>
      </c>
      <c r="M94" s="169"/>
    </row>
    <row r="95" spans="1:13" s="102" customFormat="1" ht="24.75" customHeight="1">
      <c r="A95" s="197"/>
      <c r="B95" s="220"/>
      <c r="C95" s="233"/>
      <c r="D95" s="200"/>
      <c r="E95" s="190"/>
      <c r="F95" s="19"/>
      <c r="G95" s="10">
        <f t="shared" si="14"/>
        <v>0</v>
      </c>
      <c r="H95" s="19"/>
      <c r="I95" s="10"/>
      <c r="J95" s="10">
        <v>6</v>
      </c>
      <c r="K95" s="20"/>
      <c r="L95" s="11" t="s">
        <v>137</v>
      </c>
      <c r="M95" s="169"/>
    </row>
    <row r="96" spans="1:13" s="102" customFormat="1" ht="24.75" customHeight="1">
      <c r="A96" s="197"/>
      <c r="B96" s="220"/>
      <c r="C96" s="233"/>
      <c r="D96" s="200"/>
      <c r="E96" s="190"/>
      <c r="F96" s="19"/>
      <c r="G96" s="10">
        <f t="shared" si="14"/>
        <v>0</v>
      </c>
      <c r="H96" s="19"/>
      <c r="I96" s="10"/>
      <c r="J96" s="10">
        <v>4.5</v>
      </c>
      <c r="K96" s="20"/>
      <c r="L96" s="11" t="s">
        <v>138</v>
      </c>
      <c r="M96" s="169"/>
    </row>
    <row r="97" spans="1:13" s="102" customFormat="1" ht="24.75" customHeight="1">
      <c r="A97" s="197"/>
      <c r="B97" s="220"/>
      <c r="C97" s="233"/>
      <c r="D97" s="200"/>
      <c r="E97" s="190"/>
      <c r="F97" s="19"/>
      <c r="G97" s="10">
        <f t="shared" si="14"/>
        <v>0</v>
      </c>
      <c r="H97" s="19"/>
      <c r="I97" s="10"/>
      <c r="J97" s="10">
        <v>20.04</v>
      </c>
      <c r="K97" s="20"/>
      <c r="L97" s="11" t="s">
        <v>48</v>
      </c>
      <c r="M97" s="169"/>
    </row>
    <row r="98" spans="1:13" s="102" customFormat="1" ht="24.75" customHeight="1">
      <c r="A98" s="197"/>
      <c r="B98" s="220"/>
      <c r="C98" s="233"/>
      <c r="D98" s="200"/>
      <c r="E98" s="190"/>
      <c r="F98" s="19"/>
      <c r="G98" s="10">
        <f t="shared" si="14"/>
        <v>0</v>
      </c>
      <c r="H98" s="19"/>
      <c r="I98" s="10"/>
      <c r="J98" s="10">
        <v>12</v>
      </c>
      <c r="K98" s="20"/>
      <c r="L98" s="11" t="s">
        <v>3</v>
      </c>
      <c r="M98" s="169"/>
    </row>
    <row r="99" spans="1:13" s="102" customFormat="1" ht="24.75" customHeight="1">
      <c r="A99" s="197"/>
      <c r="B99" s="220"/>
      <c r="C99" s="233"/>
      <c r="D99" s="201"/>
      <c r="E99" s="190"/>
      <c r="F99" s="19"/>
      <c r="G99" s="10">
        <f t="shared" si="14"/>
        <v>0</v>
      </c>
      <c r="H99" s="19"/>
      <c r="I99" s="10"/>
      <c r="J99" s="10"/>
      <c r="K99" s="20"/>
      <c r="L99" s="11"/>
      <c r="M99" s="169"/>
    </row>
    <row r="100" spans="1:13" s="102" customFormat="1" ht="24.75" customHeight="1">
      <c r="A100" s="197"/>
      <c r="B100" s="234"/>
      <c r="C100" s="235"/>
      <c r="D100" s="189">
        <v>2020</v>
      </c>
      <c r="E100" s="190">
        <f>F100+G100+J100+K100</f>
        <v>47.04</v>
      </c>
      <c r="F100" s="33"/>
      <c r="G100" s="33">
        <f aca="true" t="shared" si="15" ref="G100:G107">H100+I100</f>
        <v>0</v>
      </c>
      <c r="H100" s="33">
        <f>H101+H102+H103+H104+H106+H107</f>
        <v>0</v>
      </c>
      <c r="I100" s="33">
        <f>I101+I102+I103+I104+I106+I107</f>
        <v>0</v>
      </c>
      <c r="J100" s="33">
        <f>SUM(J101:J107)</f>
        <v>47.04</v>
      </c>
      <c r="K100" s="33">
        <f>K101+K102+K103+K104+K106+K107</f>
        <v>0</v>
      </c>
      <c r="L100" s="11"/>
      <c r="M100" s="169"/>
    </row>
    <row r="101" spans="1:13" s="102" customFormat="1" ht="36.75" customHeight="1">
      <c r="A101" s="197"/>
      <c r="B101" s="234"/>
      <c r="C101" s="235"/>
      <c r="D101" s="189"/>
      <c r="E101" s="190"/>
      <c r="F101" s="33"/>
      <c r="G101" s="33">
        <f t="shared" si="15"/>
        <v>0</v>
      </c>
      <c r="H101" s="33"/>
      <c r="I101" s="35"/>
      <c r="J101" s="35">
        <v>12</v>
      </c>
      <c r="K101" s="44"/>
      <c r="L101" s="11" t="s">
        <v>182</v>
      </c>
      <c r="M101" s="169"/>
    </row>
    <row r="102" spans="1:13" s="102" customFormat="1" ht="24.75" customHeight="1">
      <c r="A102" s="197"/>
      <c r="B102" s="234"/>
      <c r="C102" s="235"/>
      <c r="D102" s="189"/>
      <c r="E102" s="190"/>
      <c r="F102" s="33"/>
      <c r="G102" s="33">
        <f t="shared" si="15"/>
        <v>0</v>
      </c>
      <c r="H102" s="33"/>
      <c r="I102" s="35"/>
      <c r="J102" s="35">
        <v>4.5</v>
      </c>
      <c r="K102" s="44"/>
      <c r="L102" s="11" t="s">
        <v>15</v>
      </c>
      <c r="M102" s="169"/>
    </row>
    <row r="103" spans="1:13" s="102" customFormat="1" ht="24.75" customHeight="1">
      <c r="A103" s="197"/>
      <c r="B103" s="234"/>
      <c r="C103" s="235"/>
      <c r="D103" s="189"/>
      <c r="E103" s="190"/>
      <c r="F103" s="33"/>
      <c r="G103" s="33">
        <f t="shared" si="15"/>
        <v>0</v>
      </c>
      <c r="H103" s="33"/>
      <c r="I103" s="35"/>
      <c r="J103" s="35">
        <v>6</v>
      </c>
      <c r="K103" s="44"/>
      <c r="L103" s="11" t="s">
        <v>23</v>
      </c>
      <c r="M103" s="169"/>
    </row>
    <row r="104" spans="1:13" s="102" customFormat="1" ht="24.75" customHeight="1">
      <c r="A104" s="197"/>
      <c r="B104" s="234"/>
      <c r="C104" s="235"/>
      <c r="D104" s="189"/>
      <c r="E104" s="190"/>
      <c r="F104" s="33"/>
      <c r="G104" s="33">
        <f t="shared" si="15"/>
        <v>0</v>
      </c>
      <c r="H104" s="33"/>
      <c r="I104" s="35"/>
      <c r="J104" s="35">
        <v>4.5</v>
      </c>
      <c r="K104" s="44"/>
      <c r="L104" s="11" t="s">
        <v>12</v>
      </c>
      <c r="M104" s="169"/>
    </row>
    <row r="105" spans="1:13" s="102" customFormat="1" ht="24.75" customHeight="1">
      <c r="A105" s="197"/>
      <c r="B105" s="234"/>
      <c r="C105" s="235"/>
      <c r="D105" s="189"/>
      <c r="E105" s="190"/>
      <c r="F105" s="33"/>
      <c r="G105" s="33">
        <f t="shared" si="15"/>
        <v>0</v>
      </c>
      <c r="H105" s="33"/>
      <c r="I105" s="35"/>
      <c r="J105" s="10">
        <v>20.04</v>
      </c>
      <c r="K105" s="20"/>
      <c r="L105" s="11" t="s">
        <v>48</v>
      </c>
      <c r="M105" s="169"/>
    </row>
    <row r="106" spans="1:13" s="102" customFormat="1" ht="24.75" customHeight="1">
      <c r="A106" s="197"/>
      <c r="B106" s="234"/>
      <c r="C106" s="235"/>
      <c r="D106" s="189"/>
      <c r="E106" s="190"/>
      <c r="F106" s="33"/>
      <c r="G106" s="33">
        <f t="shared" si="15"/>
        <v>0</v>
      </c>
      <c r="H106" s="33"/>
      <c r="I106" s="35"/>
      <c r="J106" s="35">
        <v>0</v>
      </c>
      <c r="K106" s="44"/>
      <c r="L106" s="11" t="s">
        <v>24</v>
      </c>
      <c r="M106" s="169"/>
    </row>
    <row r="107" spans="1:13" s="102" customFormat="1" ht="24.75" customHeight="1">
      <c r="A107" s="197"/>
      <c r="B107" s="234"/>
      <c r="C107" s="235"/>
      <c r="D107" s="189"/>
      <c r="E107" s="190"/>
      <c r="F107" s="33"/>
      <c r="G107" s="33">
        <f t="shared" si="15"/>
        <v>0</v>
      </c>
      <c r="H107" s="33"/>
      <c r="I107" s="35"/>
      <c r="J107" s="35">
        <v>0</v>
      </c>
      <c r="K107" s="44"/>
      <c r="L107" s="11" t="s">
        <v>25</v>
      </c>
      <c r="M107" s="169"/>
    </row>
    <row r="108" spans="1:13" s="102" customFormat="1" ht="24.75" customHeight="1">
      <c r="A108" s="197"/>
      <c r="B108" s="234"/>
      <c r="C108" s="235"/>
      <c r="D108" s="189">
        <v>2021</v>
      </c>
      <c r="E108" s="190">
        <f>F108+G108+J108+K108</f>
        <v>0</v>
      </c>
      <c r="F108" s="33"/>
      <c r="G108" s="33">
        <f aca="true" t="shared" si="16" ref="G108:G114">H108+I108</f>
        <v>0</v>
      </c>
      <c r="H108" s="33">
        <f>H109+H110+H111+H112+H113+H114</f>
        <v>0</v>
      </c>
      <c r="I108" s="33">
        <f>I109+I110+I111+I112+I113+I114</f>
        <v>0</v>
      </c>
      <c r="J108" s="33">
        <f>J109+J110+J111+J112+J113+J114</f>
        <v>0</v>
      </c>
      <c r="K108" s="33">
        <f>K109+K110+K111+K112+K113+K114</f>
        <v>0</v>
      </c>
      <c r="L108" s="11"/>
      <c r="M108" s="169"/>
    </row>
    <row r="109" spans="1:13" s="102" customFormat="1" ht="45.75" customHeight="1">
      <c r="A109" s="197"/>
      <c r="B109" s="234"/>
      <c r="C109" s="235"/>
      <c r="D109" s="189"/>
      <c r="E109" s="190"/>
      <c r="F109" s="33"/>
      <c r="G109" s="33">
        <f t="shared" si="16"/>
        <v>0</v>
      </c>
      <c r="H109" s="33"/>
      <c r="I109" s="35"/>
      <c r="J109" s="35">
        <v>0</v>
      </c>
      <c r="K109" s="44"/>
      <c r="L109" s="11" t="s">
        <v>182</v>
      </c>
      <c r="M109" s="169"/>
    </row>
    <row r="110" spans="1:13" s="102" customFormat="1" ht="24.75" customHeight="1">
      <c r="A110" s="197"/>
      <c r="B110" s="234"/>
      <c r="C110" s="235"/>
      <c r="D110" s="189"/>
      <c r="E110" s="190"/>
      <c r="F110" s="33"/>
      <c r="G110" s="33">
        <f t="shared" si="16"/>
        <v>0</v>
      </c>
      <c r="H110" s="33"/>
      <c r="I110" s="35"/>
      <c r="J110" s="35">
        <v>0</v>
      </c>
      <c r="K110" s="44"/>
      <c r="L110" s="11" t="s">
        <v>15</v>
      </c>
      <c r="M110" s="169"/>
    </row>
    <row r="111" spans="1:13" s="102" customFormat="1" ht="24.75" customHeight="1">
      <c r="A111" s="197"/>
      <c r="B111" s="234"/>
      <c r="C111" s="235"/>
      <c r="D111" s="189"/>
      <c r="E111" s="190"/>
      <c r="F111" s="33"/>
      <c r="G111" s="33">
        <f t="shared" si="16"/>
        <v>0</v>
      </c>
      <c r="H111" s="33"/>
      <c r="I111" s="35"/>
      <c r="J111" s="35">
        <v>0</v>
      </c>
      <c r="K111" s="44"/>
      <c r="L111" s="11" t="s">
        <v>23</v>
      </c>
      <c r="M111" s="169"/>
    </row>
    <row r="112" spans="1:13" s="102" customFormat="1" ht="24.75" customHeight="1">
      <c r="A112" s="197"/>
      <c r="B112" s="234"/>
      <c r="C112" s="235"/>
      <c r="D112" s="189"/>
      <c r="E112" s="190"/>
      <c r="F112" s="33"/>
      <c r="G112" s="33">
        <f t="shared" si="16"/>
        <v>0</v>
      </c>
      <c r="H112" s="33"/>
      <c r="I112" s="35"/>
      <c r="J112" s="35">
        <v>0</v>
      </c>
      <c r="K112" s="44"/>
      <c r="L112" s="11" t="s">
        <v>12</v>
      </c>
      <c r="M112" s="169"/>
    </row>
    <row r="113" spans="1:13" s="102" customFormat="1" ht="24.75" customHeight="1">
      <c r="A113" s="197"/>
      <c r="B113" s="234"/>
      <c r="C113" s="235"/>
      <c r="D113" s="189"/>
      <c r="E113" s="190"/>
      <c r="F113" s="33"/>
      <c r="G113" s="33">
        <f t="shared" si="16"/>
        <v>0</v>
      </c>
      <c r="H113" s="33"/>
      <c r="I113" s="35"/>
      <c r="J113" s="35">
        <v>0</v>
      </c>
      <c r="K113" s="44"/>
      <c r="L113" s="11" t="s">
        <v>24</v>
      </c>
      <c r="M113" s="169"/>
    </row>
    <row r="114" spans="1:13" s="102" customFormat="1" ht="24.75" customHeight="1">
      <c r="A114" s="198"/>
      <c r="B114" s="236"/>
      <c r="C114" s="237"/>
      <c r="D114" s="189"/>
      <c r="E114" s="190"/>
      <c r="F114" s="33"/>
      <c r="G114" s="33">
        <f t="shared" si="16"/>
        <v>0</v>
      </c>
      <c r="H114" s="33"/>
      <c r="I114" s="35"/>
      <c r="J114" s="35">
        <v>0</v>
      </c>
      <c r="K114" s="44"/>
      <c r="L114" s="11" t="s">
        <v>25</v>
      </c>
      <c r="M114" s="169"/>
    </row>
    <row r="115" spans="1:13" s="102" customFormat="1" ht="24.75" customHeight="1">
      <c r="A115" s="223" t="s">
        <v>87</v>
      </c>
      <c r="B115" s="218" t="s">
        <v>139</v>
      </c>
      <c r="C115" s="232"/>
      <c r="D115" s="53">
        <v>2017</v>
      </c>
      <c r="E115" s="33">
        <f aca="true" t="shared" si="17" ref="E115:E121">F115+G115+J115+K115</f>
        <v>169.78</v>
      </c>
      <c r="F115" s="33"/>
      <c r="G115" s="33">
        <f aca="true" t="shared" si="18" ref="G115:G121">H115+I115</f>
        <v>155.2</v>
      </c>
      <c r="H115" s="33"/>
      <c r="I115" s="33">
        <v>155.2</v>
      </c>
      <c r="J115" s="33">
        <f>15-0.42</f>
        <v>14.58</v>
      </c>
      <c r="K115" s="44"/>
      <c r="L115" s="11" t="s">
        <v>158</v>
      </c>
      <c r="M115" s="169" t="s">
        <v>59</v>
      </c>
    </row>
    <row r="116" spans="1:13" s="102" customFormat="1" ht="24.75" customHeight="1">
      <c r="A116" s="223"/>
      <c r="B116" s="220"/>
      <c r="C116" s="233"/>
      <c r="D116" s="53">
        <v>2018</v>
      </c>
      <c r="E116" s="33">
        <f t="shared" si="17"/>
        <v>162.2</v>
      </c>
      <c r="F116" s="33"/>
      <c r="G116" s="33">
        <f t="shared" si="18"/>
        <v>162.2</v>
      </c>
      <c r="H116" s="33"/>
      <c r="I116" s="33">
        <v>162.2</v>
      </c>
      <c r="J116" s="35"/>
      <c r="K116" s="44"/>
      <c r="L116" s="11" t="s">
        <v>158</v>
      </c>
      <c r="M116" s="169"/>
    </row>
    <row r="117" spans="1:13" s="102" customFormat="1" ht="24.75" customHeight="1">
      <c r="A117" s="223"/>
      <c r="B117" s="220"/>
      <c r="C117" s="233"/>
      <c r="D117" s="53">
        <v>2019</v>
      </c>
      <c r="E117" s="33">
        <f t="shared" si="17"/>
        <v>481.1</v>
      </c>
      <c r="F117" s="33"/>
      <c r="G117" s="33">
        <f t="shared" si="18"/>
        <v>481.1</v>
      </c>
      <c r="H117" s="33"/>
      <c r="I117" s="33">
        <v>481.1</v>
      </c>
      <c r="J117" s="35"/>
      <c r="K117" s="44"/>
      <c r="L117" s="11" t="s">
        <v>158</v>
      </c>
      <c r="M117" s="169"/>
    </row>
    <row r="118" spans="1:13" s="102" customFormat="1" ht="24.75" customHeight="1">
      <c r="A118" s="223"/>
      <c r="B118" s="220"/>
      <c r="C118" s="233"/>
      <c r="D118" s="53">
        <v>2020</v>
      </c>
      <c r="E118" s="33">
        <f>F118+G118+J118+K118</f>
        <v>481.1</v>
      </c>
      <c r="F118" s="33"/>
      <c r="G118" s="33">
        <f t="shared" si="18"/>
        <v>481.1</v>
      </c>
      <c r="H118" s="33"/>
      <c r="I118" s="33">
        <v>481.1</v>
      </c>
      <c r="J118" s="35"/>
      <c r="K118" s="44"/>
      <c r="L118" s="11" t="s">
        <v>158</v>
      </c>
      <c r="M118" s="169"/>
    </row>
    <row r="119" spans="1:13" s="102" customFormat="1" ht="24.75" customHeight="1">
      <c r="A119" s="223"/>
      <c r="B119" s="220"/>
      <c r="C119" s="233"/>
      <c r="D119" s="53">
        <v>2021</v>
      </c>
      <c r="E119" s="33">
        <f>F119+G119+J119+K119</f>
        <v>481.1</v>
      </c>
      <c r="F119" s="33"/>
      <c r="G119" s="33">
        <f>H119+I119</f>
        <v>481.1</v>
      </c>
      <c r="H119" s="33"/>
      <c r="I119" s="33">
        <v>481.1</v>
      </c>
      <c r="J119" s="35"/>
      <c r="K119" s="44"/>
      <c r="L119" s="11" t="s">
        <v>158</v>
      </c>
      <c r="M119" s="169"/>
    </row>
    <row r="120" spans="1:13" s="102" customFormat="1" ht="24.75" customHeight="1">
      <c r="A120" s="223"/>
      <c r="B120" s="216"/>
      <c r="C120" s="293"/>
      <c r="D120" s="53">
        <v>2022</v>
      </c>
      <c r="E120" s="33">
        <f t="shared" si="17"/>
        <v>481.1</v>
      </c>
      <c r="F120" s="33"/>
      <c r="G120" s="33">
        <f t="shared" si="18"/>
        <v>481.1</v>
      </c>
      <c r="H120" s="33"/>
      <c r="I120" s="33">
        <v>481.1</v>
      </c>
      <c r="J120" s="35"/>
      <c r="K120" s="44"/>
      <c r="L120" s="11" t="s">
        <v>158</v>
      </c>
      <c r="M120" s="169"/>
    </row>
    <row r="121" spans="1:13" s="102" customFormat="1" ht="71.25" customHeight="1" thickBot="1">
      <c r="A121" s="109" t="s">
        <v>88</v>
      </c>
      <c r="B121" s="169" t="s">
        <v>89</v>
      </c>
      <c r="C121" s="169"/>
      <c r="D121" s="53">
        <v>2017</v>
      </c>
      <c r="E121" s="138">
        <f t="shared" si="17"/>
        <v>2375.768</v>
      </c>
      <c r="F121" s="33"/>
      <c r="G121" s="33">
        <f t="shared" si="18"/>
        <v>0</v>
      </c>
      <c r="H121" s="99"/>
      <c r="I121" s="99"/>
      <c r="J121" s="33">
        <v>2375.768</v>
      </c>
      <c r="K121" s="44"/>
      <c r="L121" s="85" t="s">
        <v>41</v>
      </c>
      <c r="M121" s="32" t="s">
        <v>65</v>
      </c>
    </row>
    <row r="122" spans="1:13" s="117" customFormat="1" ht="36" customHeight="1" thickBot="1">
      <c r="A122" s="116" t="s">
        <v>121</v>
      </c>
      <c r="B122" s="302" t="s">
        <v>169</v>
      </c>
      <c r="C122" s="303"/>
      <c r="D122" s="136">
        <v>2019</v>
      </c>
      <c r="E122" s="139">
        <f>F122+G122+J122+K122</f>
        <v>330.278</v>
      </c>
      <c r="F122" s="137"/>
      <c r="G122" s="100">
        <f>H122+I122</f>
        <v>0</v>
      </c>
      <c r="H122" s="100">
        <v>0</v>
      </c>
      <c r="I122" s="100">
        <v>0</v>
      </c>
      <c r="J122" s="100">
        <v>330.278</v>
      </c>
      <c r="K122" s="140"/>
      <c r="L122" s="142" t="s">
        <v>174</v>
      </c>
      <c r="M122" s="141"/>
    </row>
    <row r="123" spans="1:13" s="144" customFormat="1" ht="322.5" customHeight="1" thickBot="1">
      <c r="A123" s="159" t="s">
        <v>180</v>
      </c>
      <c r="B123" s="206" t="s">
        <v>194</v>
      </c>
      <c r="C123" s="207"/>
      <c r="D123" s="160">
        <v>2019</v>
      </c>
      <c r="E123" s="161">
        <f>F123+G123+J123+K123</f>
        <v>0</v>
      </c>
      <c r="F123" s="162"/>
      <c r="G123" s="163">
        <f>H123+I123</f>
        <v>0</v>
      </c>
      <c r="H123" s="164">
        <v>0</v>
      </c>
      <c r="I123" s="164">
        <v>0</v>
      </c>
      <c r="J123" s="164">
        <v>0</v>
      </c>
      <c r="K123" s="165">
        <v>0</v>
      </c>
      <c r="L123" s="166" t="s">
        <v>181</v>
      </c>
      <c r="M123" s="167" t="s">
        <v>195</v>
      </c>
    </row>
    <row r="124" spans="1:13" s="144" customFormat="1" ht="91.5" customHeight="1" thickBot="1">
      <c r="A124" s="149" t="s">
        <v>186</v>
      </c>
      <c r="B124" s="256" t="s">
        <v>187</v>
      </c>
      <c r="C124" s="257"/>
      <c r="D124" s="143">
        <v>2019</v>
      </c>
      <c r="E124" s="150">
        <f>F124+G124+J124+K124</f>
        <v>80.293</v>
      </c>
      <c r="F124" s="33"/>
      <c r="G124" s="151">
        <f>H124+I124</f>
        <v>0</v>
      </c>
      <c r="H124" s="35">
        <v>0</v>
      </c>
      <c r="I124" s="35">
        <v>0</v>
      </c>
      <c r="J124" s="35">
        <f>19+61.293</f>
        <v>80.293</v>
      </c>
      <c r="K124" s="44">
        <v>0</v>
      </c>
      <c r="L124" s="152" t="s">
        <v>3</v>
      </c>
      <c r="M124" s="153" t="s">
        <v>185</v>
      </c>
    </row>
    <row r="125" spans="1:13" s="102" customFormat="1" ht="34.5" customHeight="1">
      <c r="A125" s="224"/>
      <c r="B125" s="258" t="s">
        <v>32</v>
      </c>
      <c r="C125" s="258"/>
      <c r="D125" s="54">
        <v>2017</v>
      </c>
      <c r="E125" s="33">
        <f>F125+G125+J125+K125</f>
        <v>3516.3419999999996</v>
      </c>
      <c r="F125" s="22"/>
      <c r="G125" s="33">
        <f>H125+I125</f>
        <v>205.2</v>
      </c>
      <c r="H125" s="33">
        <f>H115+H62+H56+H49+H36+H30+H22+H16</f>
        <v>0</v>
      </c>
      <c r="I125" s="33">
        <f>I115+I62+I56+I49+I36+I30+I22+I16</f>
        <v>205.2</v>
      </c>
      <c r="J125" s="33">
        <f>J16+J22+J30+J36+J43+J49+J62+J115+J121</f>
        <v>3311.142</v>
      </c>
      <c r="K125" s="44">
        <v>0</v>
      </c>
      <c r="L125" s="52"/>
      <c r="M125" s="245"/>
    </row>
    <row r="126" spans="1:13" s="102" customFormat="1" ht="32.25" customHeight="1">
      <c r="A126" s="224"/>
      <c r="B126" s="258"/>
      <c r="C126" s="258"/>
      <c r="D126" s="54">
        <v>2018</v>
      </c>
      <c r="E126" s="33">
        <f aca="true" t="shared" si="19" ref="E126:J126">E23+E31+E37+E44+E51+E57+E69+E116</f>
        <v>3449.7360099999996</v>
      </c>
      <c r="F126" s="33">
        <f t="shared" si="19"/>
        <v>0</v>
      </c>
      <c r="G126" s="33">
        <f t="shared" si="19"/>
        <v>162.2</v>
      </c>
      <c r="H126" s="33">
        <f t="shared" si="19"/>
        <v>0</v>
      </c>
      <c r="I126" s="33">
        <f t="shared" si="19"/>
        <v>162.2</v>
      </c>
      <c r="J126" s="33">
        <f t="shared" si="19"/>
        <v>3287.53601</v>
      </c>
      <c r="K126" s="44">
        <v>0</v>
      </c>
      <c r="L126" s="52"/>
      <c r="M126" s="246"/>
    </row>
    <row r="127" spans="1:13" s="102" customFormat="1" ht="32.25" customHeight="1">
      <c r="A127" s="224"/>
      <c r="B127" s="258"/>
      <c r="C127" s="258"/>
      <c r="D127" s="54">
        <v>2019</v>
      </c>
      <c r="E127" s="33">
        <f aca="true" t="shared" si="20" ref="E127:K127">E19+E24+E28+E39+E45+E52+E58+E77+E93+E117+E122+E123+E124</f>
        <v>1468.252</v>
      </c>
      <c r="F127" s="33">
        <f t="shared" si="20"/>
        <v>0</v>
      </c>
      <c r="G127" s="33">
        <f t="shared" si="20"/>
        <v>531.1</v>
      </c>
      <c r="H127" s="33">
        <f t="shared" si="20"/>
        <v>0</v>
      </c>
      <c r="I127" s="33">
        <f t="shared" si="20"/>
        <v>531.1</v>
      </c>
      <c r="J127" s="33">
        <f t="shared" si="20"/>
        <v>937.1519999999999</v>
      </c>
      <c r="K127" s="33">
        <f t="shared" si="20"/>
        <v>0</v>
      </c>
      <c r="L127" s="145"/>
      <c r="M127" s="246"/>
    </row>
    <row r="128" spans="1:13" s="102" customFormat="1" ht="32.25" customHeight="1">
      <c r="A128" s="224"/>
      <c r="B128" s="258"/>
      <c r="C128" s="258"/>
      <c r="D128" s="54">
        <v>2020</v>
      </c>
      <c r="E128" s="33">
        <f aca="true" t="shared" si="21" ref="E128:K128">E20+E25+E29+E40+E46+E53+E59+E85+E100+E118</f>
        <v>1187.9</v>
      </c>
      <c r="F128" s="33">
        <f t="shared" si="21"/>
        <v>0</v>
      </c>
      <c r="G128" s="33">
        <f t="shared" si="21"/>
        <v>481.1</v>
      </c>
      <c r="H128" s="33">
        <f t="shared" si="21"/>
        <v>0</v>
      </c>
      <c r="I128" s="33">
        <f t="shared" si="21"/>
        <v>481.1</v>
      </c>
      <c r="J128" s="33">
        <f t="shared" si="21"/>
        <v>706.8</v>
      </c>
      <c r="K128" s="33">
        <f t="shared" si="21"/>
        <v>0</v>
      </c>
      <c r="L128" s="52"/>
      <c r="M128" s="246"/>
    </row>
    <row r="129" spans="1:13" s="102" customFormat="1" ht="32.25" customHeight="1">
      <c r="A129" s="224"/>
      <c r="B129" s="258"/>
      <c r="C129" s="258"/>
      <c r="D129" s="51">
        <v>2021</v>
      </c>
      <c r="E129" s="33">
        <f aca="true" t="shared" si="22" ref="E129:K129">E21+E26+E34+E41+E47+E54+E60+E108+E119</f>
        <v>481.1</v>
      </c>
      <c r="F129" s="33">
        <f t="shared" si="22"/>
        <v>0</v>
      </c>
      <c r="G129" s="33">
        <f t="shared" si="22"/>
        <v>481.1</v>
      </c>
      <c r="H129" s="33">
        <f t="shared" si="22"/>
        <v>0</v>
      </c>
      <c r="I129" s="33">
        <f t="shared" si="22"/>
        <v>481.1</v>
      </c>
      <c r="J129" s="33">
        <f t="shared" si="22"/>
        <v>0</v>
      </c>
      <c r="K129" s="33">
        <f t="shared" si="22"/>
        <v>0</v>
      </c>
      <c r="L129" s="52"/>
      <c r="M129" s="246"/>
    </row>
    <row r="130" spans="1:13" s="102" customFormat="1" ht="29.25" customHeight="1">
      <c r="A130" s="224"/>
      <c r="B130" s="258"/>
      <c r="C130" s="258"/>
      <c r="D130" s="51">
        <v>2022</v>
      </c>
      <c r="E130" s="33">
        <f aca="true" t="shared" si="23" ref="E130:J130">E21+E27+E42+E48+E55+E61+E108+E120</f>
        <v>481.1</v>
      </c>
      <c r="F130" s="33">
        <f t="shared" si="23"/>
        <v>0</v>
      </c>
      <c r="G130" s="33">
        <f t="shared" si="23"/>
        <v>481.1</v>
      </c>
      <c r="H130" s="33">
        <f t="shared" si="23"/>
        <v>0</v>
      </c>
      <c r="I130" s="33">
        <f t="shared" si="23"/>
        <v>481.1</v>
      </c>
      <c r="J130" s="33">
        <f t="shared" si="23"/>
        <v>0</v>
      </c>
      <c r="K130" s="44">
        <v>0</v>
      </c>
      <c r="L130" s="52"/>
      <c r="M130" s="246"/>
    </row>
    <row r="131" spans="1:13" s="102" customFormat="1" ht="29.25" customHeight="1">
      <c r="A131" s="185" t="s">
        <v>140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7"/>
    </row>
    <row r="132" spans="1:13" s="102" customFormat="1" ht="43.5" customHeight="1">
      <c r="A132" s="260" t="s">
        <v>141</v>
      </c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2"/>
    </row>
    <row r="133" spans="1:13" s="102" customFormat="1" ht="106.5" customHeight="1">
      <c r="A133" s="260" t="s">
        <v>168</v>
      </c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2"/>
    </row>
    <row r="134" spans="1:13" s="102" customFormat="1" ht="27" customHeight="1">
      <c r="A134" s="260" t="s">
        <v>2</v>
      </c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2"/>
    </row>
    <row r="135" spans="1:13" s="102" customFormat="1" ht="37.5" customHeight="1">
      <c r="A135" s="195" t="s">
        <v>107</v>
      </c>
      <c r="B135" s="227" t="s">
        <v>159</v>
      </c>
      <c r="C135" s="17" t="s">
        <v>162</v>
      </c>
      <c r="D135" s="12">
        <v>2017</v>
      </c>
      <c r="E135" s="22">
        <f>F135+G135+J135+K135</f>
        <v>15500.856</v>
      </c>
      <c r="F135" s="21"/>
      <c r="G135" s="22">
        <f>H135+I135</f>
        <v>0</v>
      </c>
      <c r="H135" s="22"/>
      <c r="I135" s="22"/>
      <c r="J135" s="22">
        <f>J171+J172+J173+J174+J175+J177</f>
        <v>15500.856</v>
      </c>
      <c r="K135" s="23">
        <v>0</v>
      </c>
      <c r="L135" s="13" t="s">
        <v>38</v>
      </c>
      <c r="M135" s="169" t="s">
        <v>68</v>
      </c>
    </row>
    <row r="136" spans="1:13" s="102" customFormat="1" ht="37.5" customHeight="1">
      <c r="A136" s="197"/>
      <c r="B136" s="228"/>
      <c r="C136" s="32" t="s">
        <v>142</v>
      </c>
      <c r="D136" s="55"/>
      <c r="E136" s="22">
        <f>F136+G136+J136+K136</f>
        <v>10933.428</v>
      </c>
      <c r="F136" s="21"/>
      <c r="G136" s="22">
        <f>H136+I136</f>
        <v>0</v>
      </c>
      <c r="H136" s="22"/>
      <c r="I136" s="22"/>
      <c r="J136" s="22">
        <f>J176</f>
        <v>10933.428</v>
      </c>
      <c r="K136" s="23">
        <v>0</v>
      </c>
      <c r="L136" s="13" t="s">
        <v>7</v>
      </c>
      <c r="M136" s="169"/>
    </row>
    <row r="137" spans="1:13" s="102" customFormat="1" ht="37.5" customHeight="1">
      <c r="A137" s="197"/>
      <c r="B137" s="228"/>
      <c r="C137" s="17" t="s">
        <v>162</v>
      </c>
      <c r="D137" s="12">
        <v>2018</v>
      </c>
      <c r="E137" s="22">
        <f>F137+G137+J137+K137</f>
        <v>28543.359</v>
      </c>
      <c r="F137" s="22"/>
      <c r="G137" s="22">
        <f>H137+I137</f>
        <v>0</v>
      </c>
      <c r="H137" s="22">
        <v>0</v>
      </c>
      <c r="I137" s="22">
        <v>0</v>
      </c>
      <c r="J137" s="22">
        <f>SUM(J138:J151)</f>
        <v>28543.359</v>
      </c>
      <c r="K137" s="50">
        <v>0</v>
      </c>
      <c r="L137" s="13"/>
      <c r="M137" s="169"/>
    </row>
    <row r="138" spans="1:13" s="102" customFormat="1" ht="24.75" customHeight="1">
      <c r="A138" s="197"/>
      <c r="B138" s="228"/>
      <c r="C138" s="17" t="s">
        <v>44</v>
      </c>
      <c r="D138" s="12"/>
      <c r="E138" s="22"/>
      <c r="F138" s="21"/>
      <c r="G138" s="21">
        <f aca="true" t="shared" si="24" ref="G138:G152">H138+I138</f>
        <v>0</v>
      </c>
      <c r="H138" s="21"/>
      <c r="I138" s="21"/>
      <c r="J138" s="21">
        <f>105.997+1553.242+30.82212-90.152</f>
        <v>1599.90912</v>
      </c>
      <c r="K138" s="23">
        <v>0</v>
      </c>
      <c r="L138" s="286" t="s">
        <v>7</v>
      </c>
      <c r="M138" s="169"/>
    </row>
    <row r="139" spans="1:13" s="102" customFormat="1" ht="24.75" customHeight="1">
      <c r="A139" s="197"/>
      <c r="B139" s="228"/>
      <c r="C139" s="17" t="s">
        <v>115</v>
      </c>
      <c r="D139" s="12"/>
      <c r="E139" s="22"/>
      <c r="F139" s="21"/>
      <c r="G139" s="21">
        <f t="shared" si="24"/>
        <v>0</v>
      </c>
      <c r="H139" s="21"/>
      <c r="I139" s="21"/>
      <c r="J139" s="24">
        <f>2647.00046-137.31778-3.0355</f>
        <v>2506.6471800000004</v>
      </c>
      <c r="K139" s="23">
        <v>0</v>
      </c>
      <c r="L139" s="286"/>
      <c r="M139" s="169"/>
    </row>
    <row r="140" spans="1:13" s="102" customFormat="1" ht="24.75" customHeight="1">
      <c r="A140" s="197"/>
      <c r="B140" s="228"/>
      <c r="C140" s="17" t="s">
        <v>117</v>
      </c>
      <c r="D140" s="12"/>
      <c r="E140" s="22"/>
      <c r="F140" s="21"/>
      <c r="G140" s="21">
        <f t="shared" si="24"/>
        <v>0</v>
      </c>
      <c r="H140" s="21"/>
      <c r="I140" s="21"/>
      <c r="J140" s="21">
        <f>19000-4993.27603+73.22078+64.097-230.15863</f>
        <v>13913.883119999999</v>
      </c>
      <c r="K140" s="23">
        <v>0</v>
      </c>
      <c r="L140" s="286"/>
      <c r="M140" s="169"/>
    </row>
    <row r="141" spans="1:13" s="102" customFormat="1" ht="24.75" customHeight="1">
      <c r="A141" s="197"/>
      <c r="B141" s="228"/>
      <c r="C141" s="17" t="s">
        <v>45</v>
      </c>
      <c r="D141" s="12"/>
      <c r="E141" s="22"/>
      <c r="F141" s="21"/>
      <c r="G141" s="21">
        <f t="shared" si="24"/>
        <v>0</v>
      </c>
      <c r="H141" s="21"/>
      <c r="I141" s="21"/>
      <c r="J141" s="21">
        <f>620.082-142.882</f>
        <v>477.2</v>
      </c>
      <c r="K141" s="23">
        <v>0</v>
      </c>
      <c r="L141" s="286"/>
      <c r="M141" s="169"/>
    </row>
    <row r="142" spans="1:13" s="102" customFormat="1" ht="24.75" customHeight="1">
      <c r="A142" s="197"/>
      <c r="B142" s="228"/>
      <c r="C142" s="17" t="s">
        <v>46</v>
      </c>
      <c r="D142" s="12"/>
      <c r="E142" s="22"/>
      <c r="F142" s="21"/>
      <c r="G142" s="21">
        <f t="shared" si="24"/>
        <v>0</v>
      </c>
      <c r="H142" s="21"/>
      <c r="I142" s="21"/>
      <c r="J142" s="21">
        <f>4446.112-526.952+1537.10326-314.81263</f>
        <v>5141.450629999999</v>
      </c>
      <c r="K142" s="23">
        <v>0</v>
      </c>
      <c r="L142" s="286"/>
      <c r="M142" s="169"/>
    </row>
    <row r="143" spans="1:13" s="102" customFormat="1" ht="24.75" customHeight="1">
      <c r="A143" s="197"/>
      <c r="B143" s="228"/>
      <c r="C143" s="17" t="s">
        <v>47</v>
      </c>
      <c r="D143" s="12"/>
      <c r="E143" s="22"/>
      <c r="F143" s="21"/>
      <c r="G143" s="21">
        <f t="shared" si="24"/>
        <v>0</v>
      </c>
      <c r="H143" s="21"/>
      <c r="I143" s="21"/>
      <c r="J143" s="21">
        <f>115.226+847.899+0.168</f>
        <v>963.293</v>
      </c>
      <c r="K143" s="23">
        <v>0</v>
      </c>
      <c r="L143" s="286"/>
      <c r="M143" s="169"/>
    </row>
    <row r="144" spans="1:13" s="102" customFormat="1" ht="24.75" customHeight="1">
      <c r="A144" s="197"/>
      <c r="B144" s="228"/>
      <c r="C144" s="17" t="s">
        <v>44</v>
      </c>
      <c r="D144" s="12"/>
      <c r="E144" s="22"/>
      <c r="F144" s="21"/>
      <c r="G144" s="21">
        <f t="shared" si="24"/>
        <v>0</v>
      </c>
      <c r="H144" s="21"/>
      <c r="I144" s="21"/>
      <c r="J144" s="21">
        <f>357.7+36.69771</f>
        <v>394.39770999999996</v>
      </c>
      <c r="K144" s="23">
        <v>0</v>
      </c>
      <c r="L144" s="14" t="s">
        <v>44</v>
      </c>
      <c r="M144" s="169"/>
    </row>
    <row r="145" spans="1:13" s="102" customFormat="1" ht="24.75" customHeight="1">
      <c r="A145" s="197"/>
      <c r="B145" s="228"/>
      <c r="C145" s="17" t="s">
        <v>115</v>
      </c>
      <c r="D145" s="12"/>
      <c r="E145" s="22"/>
      <c r="F145" s="21"/>
      <c r="G145" s="21">
        <f t="shared" si="24"/>
        <v>0</v>
      </c>
      <c r="H145" s="21"/>
      <c r="I145" s="21"/>
      <c r="J145" s="21">
        <f>105.779+362.898-106.319</f>
        <v>362.358</v>
      </c>
      <c r="K145" s="23">
        <v>0</v>
      </c>
      <c r="L145" s="14" t="s">
        <v>115</v>
      </c>
      <c r="M145" s="169"/>
    </row>
    <row r="146" spans="1:13" s="102" customFormat="1" ht="24.75" customHeight="1">
      <c r="A146" s="197"/>
      <c r="B146" s="228"/>
      <c r="C146" s="17" t="s">
        <v>45</v>
      </c>
      <c r="D146" s="12"/>
      <c r="E146" s="22"/>
      <c r="F146" s="21"/>
      <c r="G146" s="21">
        <f t="shared" si="24"/>
        <v>0</v>
      </c>
      <c r="H146" s="21"/>
      <c r="I146" s="21"/>
      <c r="J146" s="21">
        <v>0</v>
      </c>
      <c r="K146" s="23">
        <v>0</v>
      </c>
      <c r="L146" s="13"/>
      <c r="M146" s="169"/>
    </row>
    <row r="147" spans="1:13" s="102" customFormat="1" ht="24.75" customHeight="1">
      <c r="A147" s="197"/>
      <c r="B147" s="228"/>
      <c r="C147" s="17" t="s">
        <v>46</v>
      </c>
      <c r="D147" s="12"/>
      <c r="E147" s="22"/>
      <c r="F147" s="21"/>
      <c r="G147" s="21">
        <f t="shared" si="24"/>
        <v>0</v>
      </c>
      <c r="H147" s="21"/>
      <c r="I147" s="21"/>
      <c r="J147" s="21">
        <f>196.448+30+275.818-26.184</f>
        <v>476.08199999999994</v>
      </c>
      <c r="K147" s="23">
        <v>0</v>
      </c>
      <c r="L147" s="13" t="s">
        <v>49</v>
      </c>
      <c r="M147" s="169"/>
    </row>
    <row r="148" spans="1:13" s="102" customFormat="1" ht="24.75" customHeight="1">
      <c r="A148" s="197"/>
      <c r="B148" s="228"/>
      <c r="C148" s="17" t="s">
        <v>47</v>
      </c>
      <c r="D148" s="12"/>
      <c r="E148" s="22"/>
      <c r="F148" s="21"/>
      <c r="G148" s="21">
        <f t="shared" si="24"/>
        <v>0</v>
      </c>
      <c r="H148" s="21"/>
      <c r="I148" s="21"/>
      <c r="J148" s="21">
        <f>624.103+100+900+26.6</f>
        <v>1650.703</v>
      </c>
      <c r="K148" s="23">
        <v>0</v>
      </c>
      <c r="L148" s="13" t="s">
        <v>50</v>
      </c>
      <c r="M148" s="169"/>
    </row>
    <row r="149" spans="1:13" s="102" customFormat="1" ht="24.75" customHeight="1">
      <c r="A149" s="197"/>
      <c r="B149" s="228"/>
      <c r="C149" s="17"/>
      <c r="D149" s="12"/>
      <c r="E149" s="22"/>
      <c r="F149" s="21"/>
      <c r="G149" s="21">
        <f>H149+I149</f>
        <v>0</v>
      </c>
      <c r="H149" s="21"/>
      <c r="I149" s="21"/>
      <c r="J149" s="21">
        <v>0</v>
      </c>
      <c r="K149" s="23">
        <v>0</v>
      </c>
      <c r="L149" s="13" t="s">
        <v>51</v>
      </c>
      <c r="M149" s="169"/>
    </row>
    <row r="150" spans="1:13" s="102" customFormat="1" ht="24.75" customHeight="1">
      <c r="A150" s="197"/>
      <c r="B150" s="228"/>
      <c r="C150" s="17" t="s">
        <v>48</v>
      </c>
      <c r="D150" s="12"/>
      <c r="E150" s="22"/>
      <c r="F150" s="21"/>
      <c r="G150" s="21">
        <f t="shared" si="24"/>
        <v>0</v>
      </c>
      <c r="H150" s="21"/>
      <c r="I150" s="21"/>
      <c r="J150" s="21">
        <f>491.117-443.682+838.97984-0.0006</f>
        <v>886.41424</v>
      </c>
      <c r="K150" s="23">
        <v>0</v>
      </c>
      <c r="L150" s="13" t="s">
        <v>51</v>
      </c>
      <c r="M150" s="169"/>
    </row>
    <row r="151" spans="1:13" s="102" customFormat="1" ht="24.75" customHeight="1">
      <c r="A151" s="197"/>
      <c r="B151" s="228"/>
      <c r="C151" s="17" t="s">
        <v>48</v>
      </c>
      <c r="D151" s="12"/>
      <c r="E151" s="22"/>
      <c r="F151" s="21"/>
      <c r="G151" s="21">
        <f t="shared" si="24"/>
        <v>0</v>
      </c>
      <c r="H151" s="21"/>
      <c r="I151" s="21"/>
      <c r="J151" s="64">
        <f>147.021+24</f>
        <v>171.021</v>
      </c>
      <c r="K151" s="23">
        <v>0</v>
      </c>
      <c r="L151" s="13" t="s">
        <v>119</v>
      </c>
      <c r="M151" s="169"/>
    </row>
    <row r="152" spans="1:13" s="102" customFormat="1" ht="24.75" customHeight="1">
      <c r="A152" s="197"/>
      <c r="B152" s="228"/>
      <c r="C152" s="17"/>
      <c r="D152" s="12"/>
      <c r="E152" s="22"/>
      <c r="F152" s="21"/>
      <c r="G152" s="21">
        <f t="shared" si="24"/>
        <v>0</v>
      </c>
      <c r="H152" s="21"/>
      <c r="I152" s="21"/>
      <c r="J152" s="64">
        <v>0</v>
      </c>
      <c r="K152" s="23">
        <v>0</v>
      </c>
      <c r="L152" s="13"/>
      <c r="M152" s="169"/>
    </row>
    <row r="153" spans="1:13" s="102" customFormat="1" ht="24.75" customHeight="1">
      <c r="A153" s="197"/>
      <c r="B153" s="228"/>
      <c r="C153" s="17"/>
      <c r="D153" s="12">
        <v>2019</v>
      </c>
      <c r="E153" s="22">
        <f>F153+G153+J153+K153</f>
        <v>26677.14844</v>
      </c>
      <c r="F153" s="21"/>
      <c r="G153" s="21">
        <f>H153+I153</f>
        <v>0</v>
      </c>
      <c r="H153" s="21"/>
      <c r="I153" s="22"/>
      <c r="J153" s="22">
        <f>SUM(J154:J165)</f>
        <v>26677.14844</v>
      </c>
      <c r="K153" s="23">
        <v>0</v>
      </c>
      <c r="L153" s="13" t="s">
        <v>7</v>
      </c>
      <c r="M153" s="169"/>
    </row>
    <row r="154" spans="1:13" s="102" customFormat="1" ht="24.75" customHeight="1">
      <c r="A154" s="197"/>
      <c r="B154" s="228"/>
      <c r="C154" s="17" t="s">
        <v>136</v>
      </c>
      <c r="D154" s="12"/>
      <c r="E154" s="21">
        <f aca="true" t="shared" si="25" ref="E154:E167">F154+G154+J154+K154</f>
        <v>1350</v>
      </c>
      <c r="F154" s="21"/>
      <c r="G154" s="21">
        <f aca="true" t="shared" si="26" ref="G154:G167">H154+I154</f>
        <v>0</v>
      </c>
      <c r="H154" s="21"/>
      <c r="I154" s="22"/>
      <c r="J154" s="21">
        <v>1350</v>
      </c>
      <c r="K154" s="23">
        <v>0</v>
      </c>
      <c r="L154" s="96" t="s">
        <v>7</v>
      </c>
      <c r="M154" s="169"/>
    </row>
    <row r="155" spans="1:13" s="102" customFormat="1" ht="24.75" customHeight="1">
      <c r="A155" s="197"/>
      <c r="B155" s="228"/>
      <c r="C155" s="17" t="s">
        <v>137</v>
      </c>
      <c r="D155" s="12"/>
      <c r="E155" s="21">
        <f t="shared" si="25"/>
        <v>17794.4248</v>
      </c>
      <c r="F155" s="21"/>
      <c r="G155" s="21">
        <f t="shared" si="26"/>
        <v>0</v>
      </c>
      <c r="H155" s="21"/>
      <c r="I155" s="22"/>
      <c r="J155" s="21">
        <v>17794.4248</v>
      </c>
      <c r="K155" s="23"/>
      <c r="L155" s="96" t="s">
        <v>7</v>
      </c>
      <c r="M155" s="169"/>
    </row>
    <row r="156" spans="1:13" s="102" customFormat="1" ht="24.75" customHeight="1">
      <c r="A156" s="197"/>
      <c r="B156" s="228"/>
      <c r="C156" s="17" t="s">
        <v>138</v>
      </c>
      <c r="D156" s="12"/>
      <c r="E156" s="21">
        <f t="shared" si="25"/>
        <v>340.56899999999996</v>
      </c>
      <c r="F156" s="21"/>
      <c r="G156" s="21">
        <f t="shared" si="26"/>
        <v>0</v>
      </c>
      <c r="H156" s="21"/>
      <c r="I156" s="22"/>
      <c r="J156" s="21">
        <f>500-159.431</f>
        <v>340.56899999999996</v>
      </c>
      <c r="K156" s="23"/>
      <c r="L156" s="96" t="s">
        <v>7</v>
      </c>
      <c r="M156" s="169"/>
    </row>
    <row r="157" spans="1:13" s="102" customFormat="1" ht="24.75" customHeight="1">
      <c r="A157" s="197"/>
      <c r="B157" s="228"/>
      <c r="C157" s="17" t="s">
        <v>114</v>
      </c>
      <c r="D157" s="12"/>
      <c r="E157" s="21">
        <f t="shared" si="25"/>
        <v>1797.73863</v>
      </c>
      <c r="F157" s="21"/>
      <c r="G157" s="21">
        <f t="shared" si="26"/>
        <v>0</v>
      </c>
      <c r="H157" s="21"/>
      <c r="I157" s="21"/>
      <c r="J157" s="21">
        <v>1797.73863</v>
      </c>
      <c r="K157" s="23"/>
      <c r="L157" s="96" t="s">
        <v>7</v>
      </c>
      <c r="M157" s="169"/>
    </row>
    <row r="158" spans="1:13" s="102" customFormat="1" ht="24.75" customHeight="1">
      <c r="A158" s="197"/>
      <c r="B158" s="228"/>
      <c r="C158" s="17" t="s">
        <v>50</v>
      </c>
      <c r="D158" s="12"/>
      <c r="E158" s="21">
        <f t="shared" si="25"/>
        <v>1841.35064</v>
      </c>
      <c r="F158" s="21"/>
      <c r="G158" s="21">
        <f t="shared" si="26"/>
        <v>0</v>
      </c>
      <c r="H158" s="21"/>
      <c r="I158" s="22"/>
      <c r="J158" s="21">
        <v>1841.35064</v>
      </c>
      <c r="K158" s="23"/>
      <c r="L158" s="96" t="s">
        <v>7</v>
      </c>
      <c r="M158" s="169"/>
    </row>
    <row r="159" spans="1:13" s="102" customFormat="1" ht="24.75" customHeight="1">
      <c r="A159" s="197"/>
      <c r="B159" s="228"/>
      <c r="C159" s="17" t="s">
        <v>136</v>
      </c>
      <c r="D159" s="12"/>
      <c r="E159" s="21">
        <f t="shared" si="25"/>
        <v>200</v>
      </c>
      <c r="F159" s="21"/>
      <c r="G159" s="21">
        <f t="shared" si="26"/>
        <v>0</v>
      </c>
      <c r="H159" s="21"/>
      <c r="I159" s="22"/>
      <c r="J159" s="21">
        <v>200</v>
      </c>
      <c r="K159" s="23"/>
      <c r="L159" s="96" t="s">
        <v>136</v>
      </c>
      <c r="M159" s="169"/>
    </row>
    <row r="160" spans="1:13" s="102" customFormat="1" ht="24.75" customHeight="1">
      <c r="A160" s="197"/>
      <c r="B160" s="228"/>
      <c r="C160" s="17" t="s">
        <v>138</v>
      </c>
      <c r="D160" s="12"/>
      <c r="E160" s="21">
        <f>F160+G160+J160+K160</f>
        <v>340.773</v>
      </c>
      <c r="F160" s="21"/>
      <c r="G160" s="21">
        <f>H160+I160</f>
        <v>0</v>
      </c>
      <c r="H160" s="21"/>
      <c r="I160" s="22"/>
      <c r="J160" s="21">
        <v>340.773</v>
      </c>
      <c r="K160" s="23"/>
      <c r="L160" s="96" t="s">
        <v>137</v>
      </c>
      <c r="M160" s="169"/>
    </row>
    <row r="161" spans="1:13" s="102" customFormat="1" ht="24.75" customHeight="1">
      <c r="A161" s="197"/>
      <c r="B161" s="228"/>
      <c r="C161" s="17" t="s">
        <v>138</v>
      </c>
      <c r="D161" s="12"/>
      <c r="E161" s="21">
        <f t="shared" si="25"/>
        <v>159.431</v>
      </c>
      <c r="F161" s="21"/>
      <c r="G161" s="21">
        <f t="shared" si="26"/>
        <v>0</v>
      </c>
      <c r="H161" s="21"/>
      <c r="I161" s="22"/>
      <c r="J161" s="21">
        <v>159.431</v>
      </c>
      <c r="K161" s="23"/>
      <c r="L161" s="96" t="s">
        <v>138</v>
      </c>
      <c r="M161" s="169"/>
    </row>
    <row r="162" spans="1:13" s="102" customFormat="1" ht="24.75" customHeight="1">
      <c r="A162" s="197"/>
      <c r="B162" s="228"/>
      <c r="C162" s="17" t="s">
        <v>114</v>
      </c>
      <c r="D162" s="12"/>
      <c r="E162" s="21">
        <f t="shared" si="25"/>
        <v>2430.61771</v>
      </c>
      <c r="F162" s="21"/>
      <c r="G162" s="21">
        <f t="shared" si="26"/>
        <v>0</v>
      </c>
      <c r="H162" s="21"/>
      <c r="I162" s="22"/>
      <c r="J162" s="21">
        <v>2430.61771</v>
      </c>
      <c r="K162" s="23"/>
      <c r="L162" s="96" t="s">
        <v>164</v>
      </c>
      <c r="M162" s="169"/>
    </row>
    <row r="163" spans="1:13" s="102" customFormat="1" ht="24.75" customHeight="1">
      <c r="A163" s="197"/>
      <c r="B163" s="228"/>
      <c r="C163" s="17" t="s">
        <v>50</v>
      </c>
      <c r="D163" s="12"/>
      <c r="E163" s="21">
        <f t="shared" si="25"/>
        <v>422.24366</v>
      </c>
      <c r="F163" s="21"/>
      <c r="G163" s="21">
        <f t="shared" si="26"/>
        <v>0</v>
      </c>
      <c r="H163" s="21"/>
      <c r="I163" s="22"/>
      <c r="J163" s="21">
        <f>301.36966+120.874</f>
        <v>422.24366</v>
      </c>
      <c r="K163" s="23"/>
      <c r="L163" s="96" t="s">
        <v>163</v>
      </c>
      <c r="M163" s="169"/>
    </row>
    <row r="164" spans="1:13" s="102" customFormat="1" ht="24.75" customHeight="1">
      <c r="A164" s="197"/>
      <c r="B164" s="228"/>
      <c r="C164" s="17"/>
      <c r="D164" s="12"/>
      <c r="E164" s="21">
        <f t="shared" si="25"/>
        <v>0</v>
      </c>
      <c r="F164" s="21"/>
      <c r="G164" s="21">
        <f t="shared" si="26"/>
        <v>0</v>
      </c>
      <c r="H164" s="21"/>
      <c r="I164" s="22"/>
      <c r="J164" s="21">
        <v>0</v>
      </c>
      <c r="K164" s="23"/>
      <c r="L164" s="96"/>
      <c r="M164" s="169"/>
    </row>
    <row r="165" spans="1:13" s="102" customFormat="1" ht="24.75" customHeight="1">
      <c r="A165" s="197"/>
      <c r="B165" s="229"/>
      <c r="C165" s="17"/>
      <c r="D165" s="12"/>
      <c r="E165" s="21">
        <f t="shared" si="25"/>
        <v>0</v>
      </c>
      <c r="F165" s="21"/>
      <c r="G165" s="21">
        <f t="shared" si="26"/>
        <v>0</v>
      </c>
      <c r="H165" s="21"/>
      <c r="I165" s="22"/>
      <c r="J165" s="21">
        <v>0</v>
      </c>
      <c r="K165" s="23"/>
      <c r="L165" s="96"/>
      <c r="M165" s="169"/>
    </row>
    <row r="166" spans="1:13" s="102" customFormat="1" ht="24.75" customHeight="1">
      <c r="A166" s="197"/>
      <c r="B166" s="97" t="s">
        <v>169</v>
      </c>
      <c r="C166" s="17" t="s">
        <v>119</v>
      </c>
      <c r="D166" s="12">
        <v>2019</v>
      </c>
      <c r="E166" s="21">
        <f t="shared" si="25"/>
        <v>0</v>
      </c>
      <c r="F166" s="21"/>
      <c r="G166" s="21">
        <f t="shared" si="26"/>
        <v>0</v>
      </c>
      <c r="H166" s="21"/>
      <c r="I166" s="21"/>
      <c r="J166" s="22">
        <v>0</v>
      </c>
      <c r="K166" s="23"/>
      <c r="L166" s="101" t="s">
        <v>174</v>
      </c>
      <c r="M166" s="169"/>
    </row>
    <row r="167" spans="1:13" s="102" customFormat="1" ht="24.75" customHeight="1">
      <c r="A167" s="197"/>
      <c r="B167" s="264" t="s">
        <v>159</v>
      </c>
      <c r="C167" s="17"/>
      <c r="D167" s="12"/>
      <c r="E167" s="21">
        <f t="shared" si="25"/>
        <v>0</v>
      </c>
      <c r="F167" s="21"/>
      <c r="G167" s="21">
        <f t="shared" si="26"/>
        <v>0</v>
      </c>
      <c r="H167" s="21"/>
      <c r="I167" s="22"/>
      <c r="J167" s="21">
        <v>0</v>
      </c>
      <c r="K167" s="23"/>
      <c r="L167" s="96"/>
      <c r="M167" s="169"/>
    </row>
    <row r="168" spans="1:13" s="102" customFormat="1" ht="24.75" customHeight="1">
      <c r="A168" s="197"/>
      <c r="B168" s="300"/>
      <c r="C168" s="17" t="s">
        <v>162</v>
      </c>
      <c r="D168" s="12">
        <v>2020</v>
      </c>
      <c r="E168" s="22">
        <f>F168+G168+J168+K168</f>
        <v>10524.1</v>
      </c>
      <c r="F168" s="21"/>
      <c r="G168" s="21">
        <f>H168+I168</f>
        <v>0</v>
      </c>
      <c r="H168" s="21"/>
      <c r="I168" s="22"/>
      <c r="J168" s="22">
        <v>10524.1</v>
      </c>
      <c r="K168" s="23">
        <v>0</v>
      </c>
      <c r="L168" s="13" t="s">
        <v>7</v>
      </c>
      <c r="M168" s="169"/>
    </row>
    <row r="169" spans="1:13" s="102" customFormat="1" ht="24.75" customHeight="1">
      <c r="A169" s="197"/>
      <c r="B169" s="300"/>
      <c r="C169" s="17"/>
      <c r="D169" s="12">
        <v>2021</v>
      </c>
      <c r="E169" s="22">
        <f>F169+G169+J169+K169</f>
        <v>5471.6</v>
      </c>
      <c r="F169" s="21"/>
      <c r="G169" s="21">
        <f>H169+I169</f>
        <v>0</v>
      </c>
      <c r="H169" s="21"/>
      <c r="I169" s="22"/>
      <c r="J169" s="22">
        <v>5471.6</v>
      </c>
      <c r="K169" s="23">
        <v>0</v>
      </c>
      <c r="L169" s="13" t="s">
        <v>7</v>
      </c>
      <c r="M169" s="169"/>
    </row>
    <row r="170" spans="1:13" s="102" customFormat="1" ht="24.75" customHeight="1">
      <c r="A170" s="198"/>
      <c r="B170" s="301"/>
      <c r="C170" s="17"/>
      <c r="D170" s="12">
        <v>2022</v>
      </c>
      <c r="E170" s="22">
        <f aca="true" t="shared" si="27" ref="E170:E185">F170+G170+J170+K170</f>
        <v>5471.6</v>
      </c>
      <c r="F170" s="21"/>
      <c r="G170" s="21">
        <f>H170+I170</f>
        <v>0</v>
      </c>
      <c r="H170" s="21"/>
      <c r="I170" s="22"/>
      <c r="J170" s="22">
        <v>5471.6</v>
      </c>
      <c r="K170" s="23">
        <v>0</v>
      </c>
      <c r="L170" s="13" t="s">
        <v>7</v>
      </c>
      <c r="M170" s="169"/>
    </row>
    <row r="171" spans="1:13" s="102" customFormat="1" ht="24.75" customHeight="1">
      <c r="A171" s="223" t="s">
        <v>90</v>
      </c>
      <c r="B171" s="169" t="s">
        <v>143</v>
      </c>
      <c r="C171" s="17" t="s">
        <v>115</v>
      </c>
      <c r="D171" s="188">
        <v>2017</v>
      </c>
      <c r="E171" s="22">
        <f t="shared" si="27"/>
        <v>6400.301</v>
      </c>
      <c r="F171" s="21"/>
      <c r="G171" s="21">
        <f aca="true" t="shared" si="28" ref="G171:G177">H171+I171</f>
        <v>0</v>
      </c>
      <c r="H171" s="21"/>
      <c r="I171" s="22"/>
      <c r="J171" s="22">
        <v>6400.301</v>
      </c>
      <c r="K171" s="23">
        <v>0</v>
      </c>
      <c r="L171" s="13" t="s">
        <v>7</v>
      </c>
      <c r="M171" s="169"/>
    </row>
    <row r="172" spans="1:13" s="102" customFormat="1" ht="24.75" customHeight="1">
      <c r="A172" s="223"/>
      <c r="B172" s="169"/>
      <c r="C172" s="17" t="s">
        <v>45</v>
      </c>
      <c r="D172" s="188"/>
      <c r="E172" s="22">
        <f t="shared" si="27"/>
        <v>1458.533</v>
      </c>
      <c r="F172" s="21"/>
      <c r="G172" s="21">
        <f t="shared" si="28"/>
        <v>0</v>
      </c>
      <c r="H172" s="21"/>
      <c r="I172" s="22"/>
      <c r="J172" s="22">
        <v>1458.533</v>
      </c>
      <c r="K172" s="23">
        <v>0</v>
      </c>
      <c r="L172" s="13" t="s">
        <v>3</v>
      </c>
      <c r="M172" s="169"/>
    </row>
    <row r="173" spans="1:13" s="102" customFormat="1" ht="24.75" customHeight="1">
      <c r="A173" s="223" t="s">
        <v>91</v>
      </c>
      <c r="B173" s="169" t="s">
        <v>144</v>
      </c>
      <c r="C173" s="17" t="s">
        <v>46</v>
      </c>
      <c r="D173" s="189">
        <v>2017</v>
      </c>
      <c r="E173" s="22">
        <f t="shared" si="27"/>
        <v>2177.928</v>
      </c>
      <c r="F173" s="21"/>
      <c r="G173" s="26">
        <f t="shared" si="28"/>
        <v>0</v>
      </c>
      <c r="H173" s="26"/>
      <c r="I173" s="27"/>
      <c r="J173" s="27">
        <v>2177.928</v>
      </c>
      <c r="K173" s="28">
        <v>0</v>
      </c>
      <c r="L173" s="13" t="s">
        <v>7</v>
      </c>
      <c r="M173" s="169"/>
    </row>
    <row r="174" spans="1:13" s="102" customFormat="1" ht="24.75" customHeight="1">
      <c r="A174" s="223"/>
      <c r="B174" s="169"/>
      <c r="C174" s="17" t="s">
        <v>47</v>
      </c>
      <c r="D174" s="189"/>
      <c r="E174" s="22">
        <f t="shared" si="27"/>
        <v>431.162</v>
      </c>
      <c r="F174" s="21"/>
      <c r="G174" s="26">
        <f t="shared" si="28"/>
        <v>0</v>
      </c>
      <c r="H174" s="26"/>
      <c r="I174" s="27"/>
      <c r="J174" s="27">
        <v>431.162</v>
      </c>
      <c r="K174" s="28">
        <v>0</v>
      </c>
      <c r="L174" s="13" t="s">
        <v>3</v>
      </c>
      <c r="M174" s="169"/>
    </row>
    <row r="175" spans="1:13" s="102" customFormat="1" ht="24.75" customHeight="1">
      <c r="A175" s="223" t="s">
        <v>157</v>
      </c>
      <c r="B175" s="169" t="s">
        <v>92</v>
      </c>
      <c r="C175" s="17"/>
      <c r="D175" s="189">
        <v>2017</v>
      </c>
      <c r="E175" s="22">
        <f t="shared" si="27"/>
        <v>4135.29</v>
      </c>
      <c r="F175" s="21"/>
      <c r="G175" s="26">
        <f t="shared" si="28"/>
        <v>0</v>
      </c>
      <c r="H175" s="26"/>
      <c r="I175" s="27"/>
      <c r="J175" s="27">
        <v>4135.29</v>
      </c>
      <c r="K175" s="28">
        <v>0</v>
      </c>
      <c r="L175" s="286" t="s">
        <v>7</v>
      </c>
      <c r="M175" s="169"/>
    </row>
    <row r="176" spans="1:13" s="102" customFormat="1" ht="24.75" customHeight="1">
      <c r="A176" s="223"/>
      <c r="B176" s="169"/>
      <c r="C176" s="17" t="s">
        <v>162</v>
      </c>
      <c r="D176" s="189"/>
      <c r="E176" s="22">
        <f t="shared" si="27"/>
        <v>10933.428</v>
      </c>
      <c r="F176" s="21"/>
      <c r="G176" s="26">
        <f t="shared" si="28"/>
        <v>0</v>
      </c>
      <c r="H176" s="26"/>
      <c r="I176" s="27"/>
      <c r="J176" s="27">
        <v>10933.428</v>
      </c>
      <c r="K176" s="28">
        <v>0</v>
      </c>
      <c r="L176" s="286"/>
      <c r="M176" s="169"/>
    </row>
    <row r="177" spans="1:13" s="102" customFormat="1" ht="24.75" customHeight="1">
      <c r="A177" s="223"/>
      <c r="B177" s="169"/>
      <c r="C177" s="17" t="s">
        <v>162</v>
      </c>
      <c r="D177" s="189"/>
      <c r="E177" s="22">
        <f t="shared" si="27"/>
        <v>897.642</v>
      </c>
      <c r="F177" s="21"/>
      <c r="G177" s="26">
        <f t="shared" si="28"/>
        <v>0</v>
      </c>
      <c r="H177" s="26"/>
      <c r="I177" s="27"/>
      <c r="J177" s="27">
        <v>897.642</v>
      </c>
      <c r="K177" s="28">
        <v>0</v>
      </c>
      <c r="L177" s="13" t="s">
        <v>3</v>
      </c>
      <c r="M177" s="169"/>
    </row>
    <row r="178" spans="1:13" s="102" customFormat="1" ht="24.75" customHeight="1">
      <c r="A178" s="223" t="s">
        <v>109</v>
      </c>
      <c r="B178" s="267" t="s">
        <v>110</v>
      </c>
      <c r="C178" s="62"/>
      <c r="D178" s="16">
        <v>2018</v>
      </c>
      <c r="E178" s="22">
        <f>F178+J178+K178</f>
        <v>1130.874</v>
      </c>
      <c r="F178" s="27">
        <f aca="true" t="shared" si="29" ref="F178:K178">SUM(F179:F185)</f>
        <v>0</v>
      </c>
      <c r="G178" s="27">
        <f t="shared" si="29"/>
        <v>0</v>
      </c>
      <c r="H178" s="27">
        <f t="shared" si="29"/>
        <v>0</v>
      </c>
      <c r="I178" s="27">
        <f t="shared" si="29"/>
        <v>0</v>
      </c>
      <c r="J178" s="27">
        <f t="shared" si="29"/>
        <v>1130.874</v>
      </c>
      <c r="K178" s="27">
        <f t="shared" si="29"/>
        <v>0</v>
      </c>
      <c r="L178" s="80"/>
      <c r="M178" s="32" t="s">
        <v>116</v>
      </c>
    </row>
    <row r="179" spans="1:13" s="102" customFormat="1" ht="24.75" customHeight="1">
      <c r="A179" s="223"/>
      <c r="B179" s="268"/>
      <c r="C179" s="62"/>
      <c r="D179" s="49"/>
      <c r="E179" s="21">
        <f>F179+G179+J179+K179</f>
        <v>0</v>
      </c>
      <c r="F179" s="25"/>
      <c r="G179" s="26">
        <f aca="true" t="shared" si="30" ref="G179:G185">H179+I179</f>
        <v>0</v>
      </c>
      <c r="H179" s="27"/>
      <c r="I179" s="26">
        <v>0</v>
      </c>
      <c r="J179" s="26">
        <v>0</v>
      </c>
      <c r="K179" s="56"/>
      <c r="L179" s="80"/>
      <c r="M179" s="32"/>
    </row>
    <row r="180" spans="1:13" s="102" customFormat="1" ht="24.75" customHeight="1">
      <c r="A180" s="223"/>
      <c r="B180" s="268"/>
      <c r="C180" s="62" t="s">
        <v>111</v>
      </c>
      <c r="D180" s="16"/>
      <c r="E180" s="21">
        <f t="shared" si="27"/>
        <v>32.401</v>
      </c>
      <c r="F180" s="25"/>
      <c r="G180" s="26">
        <f t="shared" si="30"/>
        <v>0</v>
      </c>
      <c r="H180" s="26"/>
      <c r="I180" s="27"/>
      <c r="J180" s="21">
        <f>24+9.98-1.579</f>
        <v>32.401</v>
      </c>
      <c r="K180" s="28"/>
      <c r="L180" s="13" t="s">
        <v>111</v>
      </c>
      <c r="M180" s="32"/>
    </row>
    <row r="181" spans="1:13" s="102" customFormat="1" ht="24.75" customHeight="1">
      <c r="A181" s="223"/>
      <c r="B181" s="268"/>
      <c r="C181" s="62" t="s">
        <v>112</v>
      </c>
      <c r="D181" s="16"/>
      <c r="E181" s="21">
        <f t="shared" si="27"/>
        <v>202.33000000000004</v>
      </c>
      <c r="F181" s="25"/>
      <c r="G181" s="26">
        <f t="shared" si="30"/>
        <v>0</v>
      </c>
      <c r="H181" s="26"/>
      <c r="I181" s="27"/>
      <c r="J181" s="21">
        <f>304.8-99.63174-2.83826</f>
        <v>202.33000000000004</v>
      </c>
      <c r="K181" s="28"/>
      <c r="L181" s="13" t="s">
        <v>112</v>
      </c>
      <c r="M181" s="32"/>
    </row>
    <row r="182" spans="1:13" s="102" customFormat="1" ht="24.75" customHeight="1">
      <c r="A182" s="223"/>
      <c r="B182" s="268"/>
      <c r="C182" s="62" t="s">
        <v>113</v>
      </c>
      <c r="D182" s="16"/>
      <c r="E182" s="21">
        <f t="shared" si="27"/>
        <v>193.929</v>
      </c>
      <c r="F182" s="25"/>
      <c r="G182" s="26">
        <f t="shared" si="30"/>
        <v>0</v>
      </c>
      <c r="H182" s="26"/>
      <c r="I182" s="27"/>
      <c r="J182" s="26">
        <f>138.5+55.429</f>
        <v>193.929</v>
      </c>
      <c r="K182" s="28"/>
      <c r="L182" s="13" t="s">
        <v>113</v>
      </c>
      <c r="M182" s="32"/>
    </row>
    <row r="183" spans="1:13" s="102" customFormat="1" ht="24.75" customHeight="1">
      <c r="A183" s="223"/>
      <c r="B183" s="268"/>
      <c r="C183" s="62"/>
      <c r="D183" s="16"/>
      <c r="E183" s="21">
        <f t="shared" si="27"/>
        <v>522.2139999999999</v>
      </c>
      <c r="F183" s="25"/>
      <c r="G183" s="26">
        <f t="shared" si="30"/>
        <v>0</v>
      </c>
      <c r="H183" s="26"/>
      <c r="I183" s="27"/>
      <c r="J183" s="26">
        <f>874-134.152-30-249.634+62</f>
        <v>522.2139999999999</v>
      </c>
      <c r="K183" s="28"/>
      <c r="L183" s="13" t="s">
        <v>114</v>
      </c>
      <c r="M183" s="32"/>
    </row>
    <row r="184" spans="1:13" s="102" customFormat="1" ht="24.75" customHeight="1">
      <c r="A184" s="223"/>
      <c r="B184" s="268"/>
      <c r="C184" s="62"/>
      <c r="D184" s="16"/>
      <c r="E184" s="21">
        <f t="shared" si="27"/>
        <v>40</v>
      </c>
      <c r="F184" s="25"/>
      <c r="G184" s="26">
        <f t="shared" si="30"/>
        <v>0</v>
      </c>
      <c r="H184" s="26"/>
      <c r="I184" s="27"/>
      <c r="J184" s="26">
        <f>100-60</f>
        <v>40</v>
      </c>
      <c r="K184" s="28"/>
      <c r="L184" s="13" t="s">
        <v>50</v>
      </c>
      <c r="M184" s="32"/>
    </row>
    <row r="185" spans="1:13" s="102" customFormat="1" ht="24.75" customHeight="1">
      <c r="A185" s="223"/>
      <c r="B185" s="268"/>
      <c r="C185" s="15"/>
      <c r="D185" s="16"/>
      <c r="E185" s="21">
        <f t="shared" si="27"/>
        <v>140</v>
      </c>
      <c r="F185" s="25"/>
      <c r="G185" s="26">
        <f t="shared" si="30"/>
        <v>0</v>
      </c>
      <c r="H185" s="26"/>
      <c r="I185" s="27"/>
      <c r="J185" s="26">
        <f>165-25</f>
        <v>140</v>
      </c>
      <c r="K185" s="28"/>
      <c r="L185" s="13" t="s">
        <v>48</v>
      </c>
      <c r="M185" s="32"/>
    </row>
    <row r="186" spans="1:13" s="102" customFormat="1" ht="26.25" customHeight="1">
      <c r="A186" s="223"/>
      <c r="B186" s="268"/>
      <c r="C186" s="17"/>
      <c r="D186" s="16">
        <v>2019</v>
      </c>
      <c r="E186" s="27">
        <f aca="true" t="shared" si="31" ref="E186:K186">SUM(E187:E188)</f>
        <v>468.651</v>
      </c>
      <c r="F186" s="27">
        <f t="shared" si="31"/>
        <v>0</v>
      </c>
      <c r="G186" s="27">
        <f t="shared" si="31"/>
        <v>0</v>
      </c>
      <c r="H186" s="27">
        <f t="shared" si="31"/>
        <v>0</v>
      </c>
      <c r="I186" s="27">
        <f t="shared" si="31"/>
        <v>0</v>
      </c>
      <c r="J186" s="27">
        <f t="shared" si="31"/>
        <v>468.651</v>
      </c>
      <c r="K186" s="27">
        <f t="shared" si="31"/>
        <v>0</v>
      </c>
      <c r="L186" s="13"/>
      <c r="M186" s="169"/>
    </row>
    <row r="187" spans="1:13" s="102" customFormat="1" ht="33" customHeight="1">
      <c r="A187" s="223"/>
      <c r="B187" s="268"/>
      <c r="C187" s="62" t="s">
        <v>113</v>
      </c>
      <c r="D187" s="16"/>
      <c r="E187" s="26">
        <f>F187+G187+J187</f>
        <v>400</v>
      </c>
      <c r="F187" s="26"/>
      <c r="G187" s="26">
        <f>H187+I187</f>
        <v>0</v>
      </c>
      <c r="H187" s="26"/>
      <c r="I187" s="26"/>
      <c r="J187" s="26">
        <v>400</v>
      </c>
      <c r="K187" s="27"/>
      <c r="L187" s="13" t="s">
        <v>113</v>
      </c>
      <c r="M187" s="169"/>
    </row>
    <row r="188" spans="1:13" s="102" customFormat="1" ht="33" customHeight="1">
      <c r="A188" s="223"/>
      <c r="B188" s="268"/>
      <c r="C188" s="17" t="s">
        <v>46</v>
      </c>
      <c r="D188" s="16"/>
      <c r="E188" s="26">
        <f>F188+G188+J188</f>
        <v>68.651</v>
      </c>
      <c r="F188" s="26"/>
      <c r="G188" s="26">
        <f>H188+I188</f>
        <v>0</v>
      </c>
      <c r="H188" s="26"/>
      <c r="I188" s="26"/>
      <c r="J188" s="26">
        <v>68.651</v>
      </c>
      <c r="K188" s="27"/>
      <c r="L188" s="13" t="s">
        <v>46</v>
      </c>
      <c r="M188" s="169"/>
    </row>
    <row r="189" spans="1:13" s="102" customFormat="1" ht="36.75" customHeight="1">
      <c r="A189" s="223"/>
      <c r="B189" s="268"/>
      <c r="C189" s="17"/>
      <c r="D189" s="16">
        <v>2020</v>
      </c>
      <c r="E189" s="21">
        <f>F189+G189+K189</f>
        <v>0</v>
      </c>
      <c r="F189" s="21">
        <v>0</v>
      </c>
      <c r="G189" s="21">
        <v>0</v>
      </c>
      <c r="H189" s="21">
        <v>0</v>
      </c>
      <c r="I189" s="22">
        <v>0</v>
      </c>
      <c r="J189" s="21">
        <v>0</v>
      </c>
      <c r="K189" s="23">
        <v>0</v>
      </c>
      <c r="L189" s="13"/>
      <c r="M189" s="169"/>
    </row>
    <row r="190" spans="1:13" s="102" customFormat="1" ht="36.75" customHeight="1">
      <c r="A190" s="223"/>
      <c r="B190" s="268"/>
      <c r="C190" s="17"/>
      <c r="D190" s="16">
        <v>2021</v>
      </c>
      <c r="E190" s="21">
        <f>F190+G190+K190</f>
        <v>0</v>
      </c>
      <c r="F190" s="21">
        <v>0</v>
      </c>
      <c r="G190" s="21">
        <f>H190+I190</f>
        <v>0</v>
      </c>
      <c r="H190" s="21">
        <v>0</v>
      </c>
      <c r="I190" s="21">
        <v>0</v>
      </c>
      <c r="J190" s="21">
        <v>0</v>
      </c>
      <c r="K190" s="23">
        <v>0</v>
      </c>
      <c r="L190" s="13"/>
      <c r="M190" s="169"/>
    </row>
    <row r="191" spans="1:13" s="102" customFormat="1" ht="35.25" customHeight="1">
      <c r="A191" s="223"/>
      <c r="B191" s="215"/>
      <c r="C191" s="17"/>
      <c r="D191" s="16">
        <v>2022</v>
      </c>
      <c r="E191" s="21">
        <f>F191+G191+K191</f>
        <v>0</v>
      </c>
      <c r="F191" s="21">
        <v>0</v>
      </c>
      <c r="G191" s="21">
        <f>H191+I191</f>
        <v>0</v>
      </c>
      <c r="H191" s="21">
        <v>0</v>
      </c>
      <c r="I191" s="21">
        <v>0</v>
      </c>
      <c r="J191" s="21">
        <v>0</v>
      </c>
      <c r="K191" s="23">
        <v>0</v>
      </c>
      <c r="L191" s="13"/>
      <c r="M191" s="169"/>
    </row>
    <row r="192" spans="1:13" s="102" customFormat="1" ht="28.5" customHeight="1">
      <c r="A192" s="223" t="s">
        <v>123</v>
      </c>
      <c r="B192" s="169" t="s">
        <v>145</v>
      </c>
      <c r="C192" s="17"/>
      <c r="D192" s="16">
        <v>2019</v>
      </c>
      <c r="E192" s="27">
        <f aca="true" t="shared" si="32" ref="E192:K192">E196+E197+E198+E199+E200+E201+E202+E203</f>
        <v>498</v>
      </c>
      <c r="F192" s="27">
        <f t="shared" si="32"/>
        <v>0</v>
      </c>
      <c r="G192" s="27">
        <f t="shared" si="32"/>
        <v>473.00000000000006</v>
      </c>
      <c r="H192" s="27">
        <f t="shared" si="32"/>
        <v>0</v>
      </c>
      <c r="I192" s="27">
        <f t="shared" si="32"/>
        <v>473.00000000000006</v>
      </c>
      <c r="J192" s="27">
        <f t="shared" si="32"/>
        <v>25</v>
      </c>
      <c r="K192" s="27">
        <f t="shared" si="32"/>
        <v>0</v>
      </c>
      <c r="L192" s="13"/>
      <c r="M192" s="32"/>
    </row>
    <row r="193" spans="1:13" s="102" customFormat="1" ht="33" customHeight="1">
      <c r="A193" s="223"/>
      <c r="B193" s="169"/>
      <c r="C193" s="17"/>
      <c r="D193" s="16">
        <v>2020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3">
        <v>0</v>
      </c>
      <c r="L193" s="13"/>
      <c r="M193" s="32"/>
    </row>
    <row r="194" spans="1:13" s="102" customFormat="1" ht="31.5" customHeight="1">
      <c r="A194" s="223"/>
      <c r="B194" s="169"/>
      <c r="C194" s="17"/>
      <c r="D194" s="16">
        <v>2021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3">
        <v>0</v>
      </c>
      <c r="L194" s="13"/>
      <c r="M194" s="32"/>
    </row>
    <row r="195" spans="1:13" s="102" customFormat="1" ht="25.5" customHeight="1">
      <c r="A195" s="223"/>
      <c r="B195" s="169"/>
      <c r="C195" s="17"/>
      <c r="D195" s="16">
        <v>2022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3">
        <v>0</v>
      </c>
      <c r="L195" s="13"/>
      <c r="M195" s="32"/>
    </row>
    <row r="196" spans="1:13" s="102" customFormat="1" ht="36.75" customHeight="1">
      <c r="A196" s="223" t="s">
        <v>122</v>
      </c>
      <c r="B196" s="134" t="s">
        <v>189</v>
      </c>
      <c r="C196" s="14" t="s">
        <v>46</v>
      </c>
      <c r="D196" s="9">
        <v>2019</v>
      </c>
      <c r="E196" s="21">
        <f aca="true" t="shared" si="33" ref="E196:E209">F196+G196+J196+K196</f>
        <v>8.6</v>
      </c>
      <c r="F196" s="21"/>
      <c r="G196" s="21">
        <f>H196+I196</f>
        <v>0</v>
      </c>
      <c r="H196" s="21"/>
      <c r="I196" s="21">
        <v>0</v>
      </c>
      <c r="J196" s="21">
        <v>8.6</v>
      </c>
      <c r="K196" s="23">
        <v>0</v>
      </c>
      <c r="L196" s="13" t="s">
        <v>114</v>
      </c>
      <c r="M196" s="169"/>
    </row>
    <row r="197" spans="1:13" s="102" customFormat="1" ht="37.5" customHeight="1">
      <c r="A197" s="223"/>
      <c r="B197" s="134" t="s">
        <v>147</v>
      </c>
      <c r="C197" s="14" t="s">
        <v>47</v>
      </c>
      <c r="D197" s="9">
        <v>2019</v>
      </c>
      <c r="E197" s="21">
        <f t="shared" si="33"/>
        <v>15.4</v>
      </c>
      <c r="F197" s="21"/>
      <c r="G197" s="21">
        <f aca="true" t="shared" si="34" ref="G197:G203">H197+I197</f>
        <v>15.4</v>
      </c>
      <c r="H197" s="21"/>
      <c r="I197" s="21">
        <v>15.4</v>
      </c>
      <c r="J197" s="21">
        <v>0</v>
      </c>
      <c r="K197" s="23">
        <v>0</v>
      </c>
      <c r="L197" s="13" t="s">
        <v>50</v>
      </c>
      <c r="M197" s="169"/>
    </row>
    <row r="198" spans="1:13" s="102" customFormat="1" ht="66" customHeight="1">
      <c r="A198" s="109" t="s">
        <v>124</v>
      </c>
      <c r="B198" s="32" t="s">
        <v>190</v>
      </c>
      <c r="C198" s="14" t="s">
        <v>46</v>
      </c>
      <c r="D198" s="9">
        <v>2019</v>
      </c>
      <c r="E198" s="21">
        <f t="shared" si="33"/>
        <v>137.612</v>
      </c>
      <c r="F198" s="21"/>
      <c r="G198" s="21">
        <f t="shared" si="34"/>
        <v>137.612</v>
      </c>
      <c r="H198" s="21"/>
      <c r="I198" s="21">
        <v>137.612</v>
      </c>
      <c r="J198" s="21">
        <v>0</v>
      </c>
      <c r="K198" s="23">
        <v>0</v>
      </c>
      <c r="L198" s="13" t="s">
        <v>114</v>
      </c>
      <c r="M198" s="32" t="s">
        <v>130</v>
      </c>
    </row>
    <row r="199" spans="1:13" s="102" customFormat="1" ht="60.75" customHeight="1">
      <c r="A199" s="109" t="s">
        <v>125</v>
      </c>
      <c r="B199" s="32" t="s">
        <v>191</v>
      </c>
      <c r="C199" s="14" t="s">
        <v>46</v>
      </c>
      <c r="D199" s="9">
        <v>2019</v>
      </c>
      <c r="E199" s="21">
        <f t="shared" si="33"/>
        <v>131.693</v>
      </c>
      <c r="F199" s="21"/>
      <c r="G199" s="21">
        <f>H199+I199</f>
        <v>131.693</v>
      </c>
      <c r="H199" s="21"/>
      <c r="I199" s="21">
        <f>120.581+11.112</f>
        <v>131.693</v>
      </c>
      <c r="J199" s="21">
        <v>0</v>
      </c>
      <c r="K199" s="23">
        <v>0</v>
      </c>
      <c r="L199" s="13" t="s">
        <v>114</v>
      </c>
      <c r="M199" s="169" t="s">
        <v>131</v>
      </c>
    </row>
    <row r="200" spans="1:13" s="102" customFormat="1" ht="75" customHeight="1">
      <c r="A200" s="223" t="s">
        <v>126</v>
      </c>
      <c r="B200" s="32" t="s">
        <v>192</v>
      </c>
      <c r="C200" s="14" t="s">
        <v>46</v>
      </c>
      <c r="D200" s="9">
        <v>2019</v>
      </c>
      <c r="E200" s="21">
        <f t="shared" si="33"/>
        <v>44.018</v>
      </c>
      <c r="F200" s="21"/>
      <c r="G200" s="21">
        <f t="shared" si="34"/>
        <v>36.039</v>
      </c>
      <c r="H200" s="21"/>
      <c r="I200" s="21">
        <f>44.018-7.979</f>
        <v>36.039</v>
      </c>
      <c r="J200" s="21">
        <f>16.579-8.6</f>
        <v>7.979000000000001</v>
      </c>
      <c r="K200" s="23">
        <v>0</v>
      </c>
      <c r="L200" s="13" t="s">
        <v>114</v>
      </c>
      <c r="M200" s="169"/>
    </row>
    <row r="201" spans="1:13" s="102" customFormat="1" ht="75" customHeight="1">
      <c r="A201" s="223"/>
      <c r="B201" s="32" t="s">
        <v>193</v>
      </c>
      <c r="C201" s="14" t="s">
        <v>46</v>
      </c>
      <c r="D201" s="9">
        <v>2019</v>
      </c>
      <c r="E201" s="21">
        <f t="shared" si="33"/>
        <v>7.656000000000001</v>
      </c>
      <c r="F201" s="21"/>
      <c r="G201" s="21">
        <f t="shared" si="34"/>
        <v>7.656000000000001</v>
      </c>
      <c r="H201" s="21"/>
      <c r="I201" s="21">
        <f>18.768-11.112</f>
        <v>7.656000000000001</v>
      </c>
      <c r="J201" s="21"/>
      <c r="K201" s="23"/>
      <c r="L201" s="13"/>
      <c r="M201" s="32"/>
    </row>
    <row r="202" spans="1:13" s="102" customFormat="1" ht="66" customHeight="1">
      <c r="A202" s="223"/>
      <c r="B202" s="32" t="s">
        <v>146</v>
      </c>
      <c r="C202" s="14" t="s">
        <v>47</v>
      </c>
      <c r="D202" s="9">
        <v>2019</v>
      </c>
      <c r="E202" s="21">
        <f t="shared" si="33"/>
        <v>10.74</v>
      </c>
      <c r="F202" s="21"/>
      <c r="G202" s="21">
        <f t="shared" si="34"/>
        <v>10.74</v>
      </c>
      <c r="H202" s="21"/>
      <c r="I202" s="21">
        <v>10.74</v>
      </c>
      <c r="J202" s="21">
        <v>0</v>
      </c>
      <c r="K202" s="23">
        <v>0</v>
      </c>
      <c r="L202" s="13" t="s">
        <v>50</v>
      </c>
      <c r="M202" s="32" t="s">
        <v>132</v>
      </c>
    </row>
    <row r="203" spans="1:13" s="102" customFormat="1" ht="60" customHeight="1">
      <c r="A203" s="109" t="s">
        <v>127</v>
      </c>
      <c r="B203" s="32" t="s">
        <v>128</v>
      </c>
      <c r="C203" s="14" t="s">
        <v>47</v>
      </c>
      <c r="D203" s="9">
        <v>2019</v>
      </c>
      <c r="E203" s="21">
        <f t="shared" si="33"/>
        <v>142.281</v>
      </c>
      <c r="F203" s="21"/>
      <c r="G203" s="21">
        <f t="shared" si="34"/>
        <v>133.86</v>
      </c>
      <c r="H203" s="21"/>
      <c r="I203" s="21">
        <v>133.86</v>
      </c>
      <c r="J203" s="21">
        <v>8.421</v>
      </c>
      <c r="K203" s="23">
        <v>0</v>
      </c>
      <c r="L203" s="13" t="s">
        <v>50</v>
      </c>
      <c r="M203" s="32" t="s">
        <v>133</v>
      </c>
    </row>
    <row r="204" spans="1:13" s="117" customFormat="1" ht="60" customHeight="1">
      <c r="A204" s="121" t="s">
        <v>175</v>
      </c>
      <c r="B204" s="295" t="s">
        <v>172</v>
      </c>
      <c r="C204" s="296"/>
      <c r="D204" s="12">
        <v>2019</v>
      </c>
      <c r="E204" s="22">
        <f aca="true" t="shared" si="35" ref="E204:K204">E205+E206</f>
        <v>1014</v>
      </c>
      <c r="F204" s="22">
        <f t="shared" si="35"/>
        <v>0</v>
      </c>
      <c r="G204" s="22">
        <f t="shared" si="35"/>
        <v>963</v>
      </c>
      <c r="H204" s="22">
        <f t="shared" si="35"/>
        <v>0</v>
      </c>
      <c r="I204" s="22">
        <f t="shared" si="35"/>
        <v>963</v>
      </c>
      <c r="J204" s="22">
        <f t="shared" si="35"/>
        <v>51</v>
      </c>
      <c r="K204" s="22">
        <f t="shared" si="35"/>
        <v>0</v>
      </c>
      <c r="L204" s="80"/>
      <c r="M204" s="130"/>
    </row>
    <row r="205" spans="1:13" s="102" customFormat="1" ht="60" customHeight="1">
      <c r="A205" s="109" t="s">
        <v>176</v>
      </c>
      <c r="B205" s="316" t="s">
        <v>172</v>
      </c>
      <c r="C205" s="316"/>
      <c r="D205" s="131">
        <v>2019</v>
      </c>
      <c r="E205" s="35">
        <f>F205+G205+J205+K205</f>
        <v>805.7918</v>
      </c>
      <c r="F205" s="122"/>
      <c r="G205" s="35">
        <f>H205+I205</f>
        <v>765.502</v>
      </c>
      <c r="H205" s="123"/>
      <c r="I205" s="154">
        <v>765.502</v>
      </c>
      <c r="J205" s="155">
        <v>40.2898</v>
      </c>
      <c r="K205" s="124"/>
      <c r="L205" s="125" t="s">
        <v>51</v>
      </c>
      <c r="M205" s="263" t="s">
        <v>173</v>
      </c>
    </row>
    <row r="206" spans="1:13" s="102" customFormat="1" ht="60" customHeight="1">
      <c r="A206" s="132" t="s">
        <v>177</v>
      </c>
      <c r="B206" s="317" t="s">
        <v>172</v>
      </c>
      <c r="C206" s="318"/>
      <c r="D206" s="131">
        <v>2019</v>
      </c>
      <c r="E206" s="98">
        <f>F206+G206+J206+K206</f>
        <v>208.20819999999998</v>
      </c>
      <c r="F206" s="126"/>
      <c r="G206" s="98">
        <f>H206+I206</f>
        <v>197.498</v>
      </c>
      <c r="H206" s="127"/>
      <c r="I206" s="156">
        <v>197.498</v>
      </c>
      <c r="J206" s="157">
        <v>10.7102</v>
      </c>
      <c r="K206" s="128"/>
      <c r="L206" s="129" t="s">
        <v>184</v>
      </c>
      <c r="M206" s="264"/>
    </row>
    <row r="207" spans="1:13" s="117" customFormat="1" ht="60" customHeight="1">
      <c r="A207" s="133" t="s">
        <v>178</v>
      </c>
      <c r="B207" s="307" t="s">
        <v>179</v>
      </c>
      <c r="C207" s="307"/>
      <c r="D207" s="12">
        <v>2019</v>
      </c>
      <c r="E207" s="33">
        <f>F207+G207+J207+K207</f>
        <v>0</v>
      </c>
      <c r="F207" s="33"/>
      <c r="G207" s="33">
        <f>H207+I207</f>
        <v>0</v>
      </c>
      <c r="H207" s="33"/>
      <c r="I207" s="33">
        <v>0</v>
      </c>
      <c r="J207" s="33">
        <v>0</v>
      </c>
      <c r="K207" s="147"/>
      <c r="L207" s="148" t="s">
        <v>21</v>
      </c>
      <c r="M207" s="134" t="s">
        <v>52</v>
      </c>
    </row>
    <row r="208" spans="1:13" s="102" customFormat="1" ht="24.75" customHeight="1">
      <c r="A208" s="224"/>
      <c r="B208" s="250" t="s">
        <v>40</v>
      </c>
      <c r="C208" s="251"/>
      <c r="D208" s="16">
        <v>2017</v>
      </c>
      <c r="E208" s="22">
        <f t="shared" si="33"/>
        <v>26434.284</v>
      </c>
      <c r="F208" s="25"/>
      <c r="G208" s="26">
        <f>H208+I208</f>
        <v>0</v>
      </c>
      <c r="H208" s="57"/>
      <c r="I208" s="27">
        <f>I135+I136</f>
        <v>0</v>
      </c>
      <c r="J208" s="58">
        <f>J135+J136</f>
        <v>26434.284</v>
      </c>
      <c r="K208" s="50">
        <v>0</v>
      </c>
      <c r="L208" s="13"/>
      <c r="M208" s="32"/>
    </row>
    <row r="209" spans="1:13" s="102" customFormat="1" ht="24.75" customHeight="1">
      <c r="A209" s="224"/>
      <c r="B209" s="252"/>
      <c r="C209" s="235"/>
      <c r="D209" s="16">
        <v>2018</v>
      </c>
      <c r="E209" s="22">
        <f t="shared" si="33"/>
        <v>29674.233</v>
      </c>
      <c r="F209" s="25"/>
      <c r="G209" s="26">
        <f>H209+I209</f>
        <v>0</v>
      </c>
      <c r="H209" s="57"/>
      <c r="I209" s="27">
        <f>I137</f>
        <v>0</v>
      </c>
      <c r="J209" s="22">
        <f>J137+J178</f>
        <v>29674.233</v>
      </c>
      <c r="K209" s="56">
        <v>0</v>
      </c>
      <c r="L209" s="13"/>
      <c r="M209" s="32"/>
    </row>
    <row r="210" spans="1:13" s="102" customFormat="1" ht="24.75" customHeight="1">
      <c r="A210" s="224"/>
      <c r="B210" s="252"/>
      <c r="C210" s="235"/>
      <c r="D210" s="16">
        <v>2019</v>
      </c>
      <c r="E210" s="58">
        <f aca="true" t="shared" si="36" ref="E210:K210">E153+E186+E192+E166+E204+E207</f>
        <v>28657.799440000003</v>
      </c>
      <c r="F210" s="58">
        <f t="shared" si="36"/>
        <v>0</v>
      </c>
      <c r="G210" s="58">
        <f t="shared" si="36"/>
        <v>1436</v>
      </c>
      <c r="H210" s="58">
        <f t="shared" si="36"/>
        <v>0</v>
      </c>
      <c r="I210" s="58">
        <f t="shared" si="36"/>
        <v>1436</v>
      </c>
      <c r="J210" s="58">
        <f t="shared" si="36"/>
        <v>27221.799440000003</v>
      </c>
      <c r="K210" s="58">
        <f t="shared" si="36"/>
        <v>0</v>
      </c>
      <c r="L210" s="13"/>
      <c r="M210" s="32"/>
    </row>
    <row r="211" spans="1:13" s="102" customFormat="1" ht="24.75" customHeight="1">
      <c r="A211" s="224"/>
      <c r="B211" s="252"/>
      <c r="C211" s="235"/>
      <c r="D211" s="16">
        <v>2020</v>
      </c>
      <c r="E211" s="58">
        <f aca="true" t="shared" si="37" ref="E211:K213">E168+E189+E193</f>
        <v>10524.1</v>
      </c>
      <c r="F211" s="58">
        <f t="shared" si="37"/>
        <v>0</v>
      </c>
      <c r="G211" s="58">
        <f t="shared" si="37"/>
        <v>0</v>
      </c>
      <c r="H211" s="58">
        <f t="shared" si="37"/>
        <v>0</v>
      </c>
      <c r="I211" s="58">
        <f t="shared" si="37"/>
        <v>0</v>
      </c>
      <c r="J211" s="58">
        <f t="shared" si="37"/>
        <v>10524.1</v>
      </c>
      <c r="K211" s="58">
        <f t="shared" si="37"/>
        <v>0</v>
      </c>
      <c r="L211" s="13"/>
      <c r="M211" s="32"/>
    </row>
    <row r="212" spans="1:13" s="102" customFormat="1" ht="24.75" customHeight="1">
      <c r="A212" s="224"/>
      <c r="B212" s="252"/>
      <c r="C212" s="235"/>
      <c r="D212" s="16">
        <v>2021</v>
      </c>
      <c r="E212" s="58">
        <f t="shared" si="37"/>
        <v>5471.6</v>
      </c>
      <c r="F212" s="58">
        <f t="shared" si="37"/>
        <v>0</v>
      </c>
      <c r="G212" s="58">
        <f t="shared" si="37"/>
        <v>0</v>
      </c>
      <c r="H212" s="58">
        <f t="shared" si="37"/>
        <v>0</v>
      </c>
      <c r="I212" s="58">
        <f t="shared" si="37"/>
        <v>0</v>
      </c>
      <c r="J212" s="58">
        <f t="shared" si="37"/>
        <v>5471.6</v>
      </c>
      <c r="K212" s="58">
        <f t="shared" si="37"/>
        <v>0</v>
      </c>
      <c r="L212" s="13"/>
      <c r="M212" s="32"/>
    </row>
    <row r="213" spans="1:13" s="102" customFormat="1" ht="24.75" customHeight="1">
      <c r="A213" s="224"/>
      <c r="B213" s="253"/>
      <c r="C213" s="237"/>
      <c r="D213" s="16">
        <v>2022</v>
      </c>
      <c r="E213" s="58">
        <f t="shared" si="37"/>
        <v>5471.6</v>
      </c>
      <c r="F213" s="58">
        <f t="shared" si="37"/>
        <v>0</v>
      </c>
      <c r="G213" s="58">
        <f t="shared" si="37"/>
        <v>0</v>
      </c>
      <c r="H213" s="58">
        <f t="shared" si="37"/>
        <v>0</v>
      </c>
      <c r="I213" s="58">
        <f t="shared" si="37"/>
        <v>0</v>
      </c>
      <c r="J213" s="58">
        <f t="shared" si="37"/>
        <v>5471.6</v>
      </c>
      <c r="K213" s="58">
        <f t="shared" si="37"/>
        <v>0</v>
      </c>
      <c r="L213" s="13"/>
      <c r="M213" s="32"/>
    </row>
    <row r="214" spans="1:13" s="102" customFormat="1" ht="27" customHeight="1">
      <c r="A214" s="244" t="s">
        <v>108</v>
      </c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7"/>
    </row>
    <row r="215" spans="1:13" s="102" customFormat="1" ht="29.25" customHeight="1">
      <c r="A215" s="202" t="s">
        <v>60</v>
      </c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4"/>
      <c r="M215" s="205"/>
    </row>
    <row r="216" spans="1:13" s="102" customFormat="1" ht="27" customHeight="1">
      <c r="A216" s="202" t="s">
        <v>148</v>
      </c>
      <c r="B216" s="203"/>
      <c r="C216" s="203"/>
      <c r="D216" s="203"/>
      <c r="E216" s="203"/>
      <c r="F216" s="203"/>
      <c r="G216" s="203"/>
      <c r="H216" s="203"/>
      <c r="I216" s="203"/>
      <c r="J216" s="203"/>
      <c r="K216" s="266"/>
      <c r="L216" s="17"/>
      <c r="M216" s="32"/>
    </row>
    <row r="217" spans="1:13" s="102" customFormat="1" ht="49.5" customHeight="1">
      <c r="A217" s="223" t="s">
        <v>93</v>
      </c>
      <c r="B217" s="280" t="s">
        <v>149</v>
      </c>
      <c r="C217" s="281"/>
      <c r="D217" s="12">
        <v>2017</v>
      </c>
      <c r="E217" s="59">
        <f aca="true" t="shared" si="38" ref="E217:E226">F217+G217+J217+K217</f>
        <v>200580.416</v>
      </c>
      <c r="F217" s="59">
        <f>F218+F219+F220+F222+F223+F224+F225</f>
        <v>124615.2</v>
      </c>
      <c r="G217" s="33">
        <f>H217+I217</f>
        <v>727</v>
      </c>
      <c r="H217" s="33">
        <f>H218+H219+H220+H222+H223+H224+H225</f>
        <v>0</v>
      </c>
      <c r="I217" s="33">
        <f>I218+I219+I220+I222+I223+I224+I225</f>
        <v>727</v>
      </c>
      <c r="J217" s="33">
        <f>J218+J219+J220+J222+J223+J224+J225</f>
        <v>75238.216</v>
      </c>
      <c r="K217" s="33">
        <f>K218+K219+K220+K222+K223+K224+K225</f>
        <v>0</v>
      </c>
      <c r="L217" s="17"/>
      <c r="M217" s="169" t="s">
        <v>69</v>
      </c>
    </row>
    <row r="218" spans="1:13" s="102" customFormat="1" ht="27" customHeight="1">
      <c r="A218" s="223"/>
      <c r="B218" s="282"/>
      <c r="C218" s="283"/>
      <c r="D218" s="65"/>
      <c r="E218" s="59">
        <f t="shared" si="38"/>
        <v>64776.86</v>
      </c>
      <c r="F218" s="30">
        <v>54731.8</v>
      </c>
      <c r="G218" s="35">
        <f>H218+I218</f>
        <v>0</v>
      </c>
      <c r="H218" s="30"/>
      <c r="I218" s="30"/>
      <c r="J218" s="30">
        <v>10045.06</v>
      </c>
      <c r="K218" s="31">
        <v>0</v>
      </c>
      <c r="L218" s="11" t="s">
        <v>10</v>
      </c>
      <c r="M218" s="169"/>
    </row>
    <row r="219" spans="1:13" s="102" customFormat="1" ht="27" customHeight="1">
      <c r="A219" s="223"/>
      <c r="B219" s="282"/>
      <c r="C219" s="283"/>
      <c r="D219" s="16"/>
      <c r="E219" s="59">
        <f t="shared" si="38"/>
        <v>20018.813</v>
      </c>
      <c r="F219" s="30"/>
      <c r="G219" s="35">
        <f aca="true" t="shared" si="39" ref="G219:G225">H219+I219</f>
        <v>0</v>
      </c>
      <c r="H219" s="30"/>
      <c r="I219" s="30"/>
      <c r="J219" s="30">
        <v>20018.813</v>
      </c>
      <c r="K219" s="31">
        <v>0</v>
      </c>
      <c r="L219" s="11" t="s">
        <v>33</v>
      </c>
      <c r="M219" s="169"/>
    </row>
    <row r="220" spans="1:13" s="102" customFormat="1" ht="27" customHeight="1">
      <c r="A220" s="223"/>
      <c r="B220" s="282"/>
      <c r="C220" s="283"/>
      <c r="D220" s="16"/>
      <c r="E220" s="59">
        <f t="shared" si="38"/>
        <v>13226.366</v>
      </c>
      <c r="F220" s="30"/>
      <c r="G220" s="35">
        <f t="shared" si="39"/>
        <v>0</v>
      </c>
      <c r="H220" s="30"/>
      <c r="I220" s="30"/>
      <c r="J220" s="30">
        <v>13226.366</v>
      </c>
      <c r="K220" s="31">
        <v>0</v>
      </c>
      <c r="L220" s="11" t="s">
        <v>34</v>
      </c>
      <c r="M220" s="169"/>
    </row>
    <row r="221" spans="1:13" s="102" customFormat="1" ht="27" customHeight="1">
      <c r="A221" s="223"/>
      <c r="B221" s="282"/>
      <c r="C221" s="283"/>
      <c r="D221" s="16"/>
      <c r="E221" s="59"/>
      <c r="F221" s="30"/>
      <c r="G221" s="35"/>
      <c r="H221" s="30"/>
      <c r="I221" s="30"/>
      <c r="J221" s="30"/>
      <c r="K221" s="31"/>
      <c r="L221" s="11"/>
      <c r="M221" s="169"/>
    </row>
    <row r="222" spans="1:13" s="102" customFormat="1" ht="27" customHeight="1">
      <c r="A222" s="223"/>
      <c r="B222" s="282"/>
      <c r="C222" s="283"/>
      <c r="D222" s="16"/>
      <c r="E222" s="59">
        <f t="shared" si="38"/>
        <v>77631.458</v>
      </c>
      <c r="F222" s="30">
        <v>69883.4</v>
      </c>
      <c r="G222" s="35">
        <f t="shared" si="39"/>
        <v>0</v>
      </c>
      <c r="H222" s="30"/>
      <c r="I222" s="30"/>
      <c r="J222" s="30">
        <v>7748.058</v>
      </c>
      <c r="K222" s="31">
        <v>0</v>
      </c>
      <c r="L222" s="11" t="s">
        <v>35</v>
      </c>
      <c r="M222" s="169"/>
    </row>
    <row r="223" spans="1:13" s="102" customFormat="1" ht="29.25" customHeight="1">
      <c r="A223" s="223"/>
      <c r="B223" s="282"/>
      <c r="C223" s="283"/>
      <c r="D223" s="16"/>
      <c r="E223" s="59">
        <f t="shared" si="38"/>
        <v>8225.922</v>
      </c>
      <c r="F223" s="18"/>
      <c r="G223" s="35">
        <f t="shared" si="39"/>
        <v>0</v>
      </c>
      <c r="H223" s="30"/>
      <c r="I223" s="30"/>
      <c r="J223" s="30">
        <v>8225.922</v>
      </c>
      <c r="K223" s="31">
        <v>0</v>
      </c>
      <c r="L223" s="11" t="s">
        <v>21</v>
      </c>
      <c r="M223" s="169"/>
    </row>
    <row r="224" spans="1:13" s="102" customFormat="1" ht="32.25" customHeight="1">
      <c r="A224" s="223"/>
      <c r="B224" s="282"/>
      <c r="C224" s="283"/>
      <c r="D224" s="16"/>
      <c r="E224" s="59">
        <f t="shared" si="38"/>
        <v>11386.085</v>
      </c>
      <c r="F224" s="18"/>
      <c r="G224" s="35">
        <f t="shared" si="39"/>
        <v>0</v>
      </c>
      <c r="H224" s="30"/>
      <c r="I224" s="30"/>
      <c r="J224" s="30">
        <v>11386.085</v>
      </c>
      <c r="K224" s="31">
        <v>0</v>
      </c>
      <c r="L224" s="11" t="s">
        <v>36</v>
      </c>
      <c r="M224" s="169"/>
    </row>
    <row r="225" spans="1:13" s="102" customFormat="1" ht="41.25" customHeight="1">
      <c r="A225" s="223"/>
      <c r="B225" s="282"/>
      <c r="C225" s="283"/>
      <c r="D225" s="16"/>
      <c r="E225" s="59">
        <f t="shared" si="38"/>
        <v>5314.912</v>
      </c>
      <c r="F225" s="18"/>
      <c r="G225" s="35">
        <f t="shared" si="39"/>
        <v>727</v>
      </c>
      <c r="H225" s="30">
        <v>0</v>
      </c>
      <c r="I225" s="30">
        <v>727</v>
      </c>
      <c r="J225" s="30">
        <f>5287.912-700</f>
        <v>4587.912</v>
      </c>
      <c r="K225" s="31">
        <v>0</v>
      </c>
      <c r="L225" s="11" t="s">
        <v>39</v>
      </c>
      <c r="M225" s="169"/>
    </row>
    <row r="226" spans="1:13" s="102" customFormat="1" ht="58.5" customHeight="1">
      <c r="A226" s="223"/>
      <c r="B226" s="284"/>
      <c r="C226" s="285"/>
      <c r="D226" s="16">
        <v>2017</v>
      </c>
      <c r="E226" s="59">
        <f t="shared" si="38"/>
        <v>16200</v>
      </c>
      <c r="F226" s="60"/>
      <c r="G226" s="60">
        <f>H226+I226</f>
        <v>0</v>
      </c>
      <c r="H226" s="60">
        <v>0</v>
      </c>
      <c r="I226" s="60">
        <v>0</v>
      </c>
      <c r="J226" s="60">
        <v>16200</v>
      </c>
      <c r="K226" s="60">
        <v>0</v>
      </c>
      <c r="L226" s="11" t="s">
        <v>43</v>
      </c>
      <c r="M226" s="169"/>
    </row>
    <row r="227" spans="1:13" s="102" customFormat="1" ht="27" customHeight="1" hidden="1" thickBot="1">
      <c r="A227" s="109"/>
      <c r="B227" s="61"/>
      <c r="C227" s="61"/>
      <c r="D227" s="16"/>
      <c r="E227" s="59">
        <f>F227+G227+J227+K227</f>
        <v>0</v>
      </c>
      <c r="F227" s="60"/>
      <c r="G227" s="60"/>
      <c r="H227" s="60"/>
      <c r="I227" s="60"/>
      <c r="J227" s="30"/>
      <c r="K227" s="30"/>
      <c r="L227" s="11"/>
      <c r="M227" s="169"/>
    </row>
    <row r="228" spans="1:13" s="102" customFormat="1" ht="24.75" customHeight="1">
      <c r="A228" s="223" t="s">
        <v>94</v>
      </c>
      <c r="B228" s="308" t="s">
        <v>95</v>
      </c>
      <c r="C228" s="309"/>
      <c r="D228" s="189">
        <v>2018</v>
      </c>
      <c r="E228" s="59">
        <f>F228+G228+J228+K228</f>
        <v>209116.99978</v>
      </c>
      <c r="F228" s="59">
        <f>SUM(F229:F235)</f>
        <v>137344.5</v>
      </c>
      <c r="G228" s="59">
        <f>H228+I228</f>
        <v>1006.9820000000001</v>
      </c>
      <c r="H228" s="59">
        <f>H229+H230+H231+H232+H233+H234+H235</f>
        <v>0</v>
      </c>
      <c r="I228" s="59">
        <f>SUM(I229:I235)</f>
        <v>1006.9820000000001</v>
      </c>
      <c r="J228" s="59">
        <f>J229+J230+J231+J232+J233+J234+J235</f>
        <v>70765.51778000001</v>
      </c>
      <c r="K228" s="60">
        <v>0</v>
      </c>
      <c r="L228" s="11"/>
      <c r="M228" s="169"/>
    </row>
    <row r="229" spans="1:13" s="102" customFormat="1" ht="24.75" customHeight="1">
      <c r="A229" s="223"/>
      <c r="B229" s="310"/>
      <c r="C229" s="311"/>
      <c r="D229" s="189"/>
      <c r="E229" s="59">
        <f aca="true" t="shared" si="40" ref="E229:E241">F229+G229+J229+K229</f>
        <v>23993.106</v>
      </c>
      <c r="F229" s="18">
        <f>13666.243+401.723+232.4</f>
        <v>14300.366</v>
      </c>
      <c r="G229" s="59">
        <f>H229+I229</f>
        <v>0</v>
      </c>
      <c r="H229" s="18"/>
      <c r="I229" s="66"/>
      <c r="J229" s="18">
        <f>9852.084+390.21-2100+341.676+175.77+33+1000</f>
        <v>9692.74</v>
      </c>
      <c r="K229" s="30">
        <v>0</v>
      </c>
      <c r="L229" s="11" t="s">
        <v>10</v>
      </c>
      <c r="M229" s="169"/>
    </row>
    <row r="230" spans="1:13" s="102" customFormat="1" ht="24.75" customHeight="1">
      <c r="A230" s="223"/>
      <c r="B230" s="310"/>
      <c r="C230" s="311"/>
      <c r="D230" s="189"/>
      <c r="E230" s="59">
        <f t="shared" si="40"/>
        <v>50093.08377</v>
      </c>
      <c r="F230" s="18">
        <f>29992.565+858.854</f>
        <v>30851.418999999998</v>
      </c>
      <c r="G230" s="59">
        <f aca="true" t="shared" si="41" ref="G230:G235">H230+I230</f>
        <v>0</v>
      </c>
      <c r="H230" s="18"/>
      <c r="I230" s="66"/>
      <c r="J230" s="18">
        <f>20130.966+919.02-4300+766.8+389.718+170+1165.16077</f>
        <v>19241.66477</v>
      </c>
      <c r="K230" s="30">
        <v>0</v>
      </c>
      <c r="L230" s="11" t="s">
        <v>33</v>
      </c>
      <c r="M230" s="169"/>
    </row>
    <row r="231" spans="1:13" s="102" customFormat="1" ht="24.75" customHeight="1">
      <c r="A231" s="223"/>
      <c r="B231" s="310"/>
      <c r="C231" s="311"/>
      <c r="D231" s="189"/>
      <c r="E231" s="59">
        <f t="shared" si="40"/>
        <v>28049.476</v>
      </c>
      <c r="F231" s="18">
        <f>14985.192+401.723</f>
        <v>15386.914999999999</v>
      </c>
      <c r="G231" s="59">
        <f t="shared" si="41"/>
        <v>0</v>
      </c>
      <c r="H231" s="18"/>
      <c r="I231" s="66"/>
      <c r="J231" s="18">
        <f>13529.638+429.793-2900+367.83+195.3+40+1000</f>
        <v>12662.561</v>
      </c>
      <c r="K231" s="30">
        <v>0</v>
      </c>
      <c r="L231" s="11" t="s">
        <v>34</v>
      </c>
      <c r="M231" s="169"/>
    </row>
    <row r="232" spans="1:13" s="102" customFormat="1" ht="24.75" customHeight="1">
      <c r="A232" s="223"/>
      <c r="B232" s="310"/>
      <c r="C232" s="311"/>
      <c r="D232" s="189"/>
      <c r="E232" s="59">
        <f t="shared" si="40"/>
        <v>42507.873999999996</v>
      </c>
      <c r="F232" s="18">
        <f>30680.494+2764.647+1578.681</f>
        <v>35023.82199999999</v>
      </c>
      <c r="G232" s="59">
        <f t="shared" si="41"/>
        <v>0</v>
      </c>
      <c r="H232" s="18"/>
      <c r="I232" s="66"/>
      <c r="J232" s="18">
        <f>8048.81-1700+345.242-210+1000</f>
        <v>7484.052000000001</v>
      </c>
      <c r="K232" s="30">
        <v>0</v>
      </c>
      <c r="L232" s="11" t="s">
        <v>35</v>
      </c>
      <c r="M232" s="169"/>
    </row>
    <row r="233" spans="1:13" s="102" customFormat="1" ht="24.75" customHeight="1">
      <c r="A233" s="223"/>
      <c r="B233" s="310"/>
      <c r="C233" s="311"/>
      <c r="D233" s="189"/>
      <c r="E233" s="59">
        <f t="shared" si="40"/>
        <v>50010.63799999999</v>
      </c>
      <c r="F233" s="18">
        <f>39719.506+177.753+1884.719</f>
        <v>41781.977999999996</v>
      </c>
      <c r="G233" s="59">
        <f t="shared" si="41"/>
        <v>0</v>
      </c>
      <c r="H233" s="18"/>
      <c r="I233" s="66"/>
      <c r="J233" s="18">
        <f>8631.55-1800+397.11+1000</f>
        <v>8228.66</v>
      </c>
      <c r="K233" s="30">
        <v>0</v>
      </c>
      <c r="L233" s="11" t="s">
        <v>21</v>
      </c>
      <c r="M233" s="169"/>
    </row>
    <row r="234" spans="1:13" s="102" customFormat="1" ht="24.75" customHeight="1">
      <c r="A234" s="223"/>
      <c r="B234" s="310"/>
      <c r="C234" s="311"/>
      <c r="D234" s="189"/>
      <c r="E234" s="59">
        <f t="shared" si="40"/>
        <v>9699.46648</v>
      </c>
      <c r="F234" s="59"/>
      <c r="G234" s="59">
        <f t="shared" si="41"/>
        <v>1006.9820000000001</v>
      </c>
      <c r="H234" s="18">
        <v>0</v>
      </c>
      <c r="I234" s="18">
        <f>607.273+227.345+172.364</f>
        <v>1006.9820000000001</v>
      </c>
      <c r="J234" s="18">
        <f>10509.141+105.556-2200-617.733+133+762.52048</f>
        <v>8692.48448</v>
      </c>
      <c r="K234" s="30">
        <v>0</v>
      </c>
      <c r="L234" s="11" t="s">
        <v>36</v>
      </c>
      <c r="M234" s="169"/>
    </row>
    <row r="235" spans="1:13" s="102" customFormat="1" ht="24.75" customHeight="1">
      <c r="A235" s="223"/>
      <c r="B235" s="310"/>
      <c r="C235" s="311"/>
      <c r="D235" s="189"/>
      <c r="E235" s="59">
        <f t="shared" si="40"/>
        <v>4763.355530000001</v>
      </c>
      <c r="F235" s="59"/>
      <c r="G235" s="59">
        <f t="shared" si="41"/>
        <v>0</v>
      </c>
      <c r="H235" s="18"/>
      <c r="I235" s="18">
        <v>0</v>
      </c>
      <c r="J235" s="18">
        <f>4700.622+104.16-92.24918+50.82271</f>
        <v>4763.355530000001</v>
      </c>
      <c r="K235" s="30">
        <v>0</v>
      </c>
      <c r="L235" s="11" t="s">
        <v>58</v>
      </c>
      <c r="M235" s="169"/>
    </row>
    <row r="236" spans="1:13" s="102" customFormat="1" ht="24.75" customHeight="1">
      <c r="A236" s="223"/>
      <c r="B236" s="310"/>
      <c r="C236" s="311"/>
      <c r="D236" s="189">
        <v>2018</v>
      </c>
      <c r="E236" s="59">
        <f t="shared" si="40"/>
        <v>0</v>
      </c>
      <c r="F236" s="59">
        <f>SUM(F237:F241)</f>
        <v>0</v>
      </c>
      <c r="G236" s="59">
        <f>SUM(G237:G241)</f>
        <v>0</v>
      </c>
      <c r="H236" s="59">
        <f>SUM(H237:H241)</f>
        <v>0</v>
      </c>
      <c r="I236" s="59">
        <f>SUM(I237:I241)</f>
        <v>0</v>
      </c>
      <c r="J236" s="59">
        <f>SUM(J237:J241)</f>
        <v>0</v>
      </c>
      <c r="K236" s="60"/>
      <c r="L236" s="47"/>
      <c r="M236" s="169"/>
    </row>
    <row r="237" spans="1:13" s="102" customFormat="1" ht="24.75" customHeight="1">
      <c r="A237" s="223"/>
      <c r="B237" s="310"/>
      <c r="C237" s="311"/>
      <c r="D237" s="189"/>
      <c r="E237" s="59">
        <f t="shared" si="40"/>
        <v>0</v>
      </c>
      <c r="F237" s="29"/>
      <c r="G237" s="59">
        <f aca="true" t="shared" si="42" ref="G237:G243">H237+I237</f>
        <v>0</v>
      </c>
      <c r="H237" s="18"/>
      <c r="I237" s="18"/>
      <c r="J237" s="18">
        <v>0</v>
      </c>
      <c r="K237" s="30"/>
      <c r="L237" s="11" t="s">
        <v>10</v>
      </c>
      <c r="M237" s="169"/>
    </row>
    <row r="238" spans="1:13" s="102" customFormat="1" ht="24.75" customHeight="1">
      <c r="A238" s="223"/>
      <c r="B238" s="310"/>
      <c r="C238" s="311"/>
      <c r="D238" s="189"/>
      <c r="E238" s="59">
        <f t="shared" si="40"/>
        <v>0</v>
      </c>
      <c r="F238" s="29"/>
      <c r="G238" s="59">
        <f t="shared" si="42"/>
        <v>0</v>
      </c>
      <c r="H238" s="18"/>
      <c r="I238" s="18"/>
      <c r="J238" s="18">
        <v>0</v>
      </c>
      <c r="K238" s="30"/>
      <c r="L238" s="11" t="s">
        <v>33</v>
      </c>
      <c r="M238" s="169"/>
    </row>
    <row r="239" spans="1:13" s="102" customFormat="1" ht="24.75" customHeight="1">
      <c r="A239" s="223"/>
      <c r="B239" s="310"/>
      <c r="C239" s="311"/>
      <c r="D239" s="189"/>
      <c r="E239" s="59">
        <f t="shared" si="40"/>
        <v>0</v>
      </c>
      <c r="F239" s="29"/>
      <c r="G239" s="59">
        <f t="shared" si="42"/>
        <v>0</v>
      </c>
      <c r="H239" s="18"/>
      <c r="I239" s="18"/>
      <c r="J239" s="18">
        <v>0</v>
      </c>
      <c r="K239" s="30"/>
      <c r="L239" s="11" t="s">
        <v>34</v>
      </c>
      <c r="M239" s="169"/>
    </row>
    <row r="240" spans="1:13" s="102" customFormat="1" ht="24.75" customHeight="1">
      <c r="A240" s="223"/>
      <c r="B240" s="310"/>
      <c r="C240" s="311"/>
      <c r="D240" s="189"/>
      <c r="E240" s="59">
        <f t="shared" si="40"/>
        <v>0</v>
      </c>
      <c r="F240" s="29"/>
      <c r="G240" s="59">
        <f t="shared" si="42"/>
        <v>0</v>
      </c>
      <c r="H240" s="18"/>
      <c r="I240" s="18"/>
      <c r="J240" s="18">
        <v>0</v>
      </c>
      <c r="K240" s="30"/>
      <c r="L240" s="11" t="s">
        <v>35</v>
      </c>
      <c r="M240" s="169"/>
    </row>
    <row r="241" spans="1:13" s="102" customFormat="1" ht="24.75" customHeight="1">
      <c r="A241" s="223"/>
      <c r="B241" s="310"/>
      <c r="C241" s="311"/>
      <c r="D241" s="189"/>
      <c r="E241" s="59">
        <f t="shared" si="40"/>
        <v>0</v>
      </c>
      <c r="F241" s="29"/>
      <c r="G241" s="59">
        <f t="shared" si="42"/>
        <v>0</v>
      </c>
      <c r="H241" s="18"/>
      <c r="I241" s="18"/>
      <c r="J241" s="18">
        <v>0</v>
      </c>
      <c r="K241" s="30"/>
      <c r="L241" s="11" t="s">
        <v>21</v>
      </c>
      <c r="M241" s="169"/>
    </row>
    <row r="242" spans="1:13" s="102" customFormat="1" ht="24.75" customHeight="1">
      <c r="A242" s="223"/>
      <c r="B242" s="310"/>
      <c r="C242" s="311"/>
      <c r="D242" s="189">
        <v>2019</v>
      </c>
      <c r="E242" s="60">
        <f aca="true" t="shared" si="43" ref="E242:E252">F242+G242+J242+K242</f>
        <v>222281.26301000002</v>
      </c>
      <c r="F242" s="60">
        <f>SUM(F243:F251)</f>
        <v>144858</v>
      </c>
      <c r="G242" s="60">
        <f t="shared" si="42"/>
        <v>1139.636</v>
      </c>
      <c r="H242" s="60">
        <f>H243+H244+H245+H246+H247+H249+H251</f>
        <v>0</v>
      </c>
      <c r="I242" s="60">
        <f>I243+I244+I245+I246+I247+I249+I251</f>
        <v>1139.636</v>
      </c>
      <c r="J242" s="60">
        <f>SUM(J243:J251)</f>
        <v>75726.67232000001</v>
      </c>
      <c r="K242" s="60">
        <f>SUM(K243:K251)</f>
        <v>556.95469</v>
      </c>
      <c r="L242" s="11"/>
      <c r="M242" s="169"/>
    </row>
    <row r="243" spans="1:13" s="102" customFormat="1" ht="24.75" customHeight="1">
      <c r="A243" s="223"/>
      <c r="B243" s="310"/>
      <c r="C243" s="311"/>
      <c r="D243" s="189"/>
      <c r="E243" s="30">
        <f t="shared" si="43"/>
        <v>23025.275999999998</v>
      </c>
      <c r="F243" s="30">
        <v>13252.661</v>
      </c>
      <c r="G243" s="30">
        <f t="shared" si="42"/>
        <v>0</v>
      </c>
      <c r="H243" s="30"/>
      <c r="I243" s="30"/>
      <c r="J243" s="30">
        <f>9770.96256+1.65244</f>
        <v>9772.615</v>
      </c>
      <c r="K243" s="30">
        <v>0</v>
      </c>
      <c r="L243" s="11" t="s">
        <v>10</v>
      </c>
      <c r="M243" s="169"/>
    </row>
    <row r="244" spans="1:13" s="102" customFormat="1" ht="24.75" customHeight="1">
      <c r="A244" s="223"/>
      <c r="B244" s="310"/>
      <c r="C244" s="311"/>
      <c r="D244" s="189"/>
      <c r="E244" s="30">
        <f t="shared" si="43"/>
        <v>50676.76694</v>
      </c>
      <c r="F244" s="30">
        <v>29522.977</v>
      </c>
      <c r="G244" s="30">
        <f aca="true" t="shared" si="44" ref="G244:G251">H244+I244</f>
        <v>0</v>
      </c>
      <c r="H244" s="30"/>
      <c r="I244" s="30"/>
      <c r="J244" s="30">
        <v>20596.83525</v>
      </c>
      <c r="K244" s="30">
        <v>556.95469</v>
      </c>
      <c r="L244" s="11" t="s">
        <v>33</v>
      </c>
      <c r="M244" s="169"/>
    </row>
    <row r="245" spans="1:13" s="102" customFormat="1" ht="24.75" customHeight="1">
      <c r="A245" s="223"/>
      <c r="B245" s="310"/>
      <c r="C245" s="311"/>
      <c r="D245" s="189"/>
      <c r="E245" s="30">
        <f t="shared" si="43"/>
        <v>28951.69156</v>
      </c>
      <c r="F245" s="30">
        <v>15424.362</v>
      </c>
      <c r="G245" s="30">
        <f t="shared" si="44"/>
        <v>0</v>
      </c>
      <c r="H245" s="30"/>
      <c r="I245" s="30"/>
      <c r="J245" s="30">
        <f>12530.84+998.142-1.65244</f>
        <v>13527.32956</v>
      </c>
      <c r="K245" s="30">
        <v>0</v>
      </c>
      <c r="L245" s="11" t="s">
        <v>34</v>
      </c>
      <c r="M245" s="169"/>
    </row>
    <row r="246" spans="1:13" s="102" customFormat="1" ht="24.75" customHeight="1">
      <c r="A246" s="223"/>
      <c r="B246" s="310"/>
      <c r="C246" s="311"/>
      <c r="D246" s="189"/>
      <c r="E246" s="30">
        <f t="shared" si="43"/>
        <v>46739.774620000004</v>
      </c>
      <c r="F246" s="30">
        <v>39746.014</v>
      </c>
      <c r="G246" s="30">
        <f t="shared" si="44"/>
        <v>0</v>
      </c>
      <c r="H246" s="30"/>
      <c r="I246" s="30"/>
      <c r="J246" s="30">
        <v>6993.76062</v>
      </c>
      <c r="K246" s="30">
        <v>0</v>
      </c>
      <c r="L246" s="11" t="s">
        <v>35</v>
      </c>
      <c r="M246" s="169"/>
    </row>
    <row r="247" spans="1:13" s="102" customFormat="1" ht="24.75" customHeight="1">
      <c r="A247" s="223"/>
      <c r="B247" s="310"/>
      <c r="C247" s="311"/>
      <c r="D247" s="189"/>
      <c r="E247" s="30">
        <f t="shared" si="43"/>
        <v>54507.98317</v>
      </c>
      <c r="F247" s="30">
        <v>46911.986</v>
      </c>
      <c r="G247" s="30">
        <f t="shared" si="44"/>
        <v>0</v>
      </c>
      <c r="H247" s="30"/>
      <c r="I247" s="30"/>
      <c r="J247" s="30">
        <v>7595.99717</v>
      </c>
      <c r="K247" s="30">
        <v>0</v>
      </c>
      <c r="L247" s="11" t="s">
        <v>21</v>
      </c>
      <c r="M247" s="169"/>
    </row>
    <row r="248" spans="1:13" s="102" customFormat="1" ht="24.75" customHeight="1">
      <c r="A248" s="223"/>
      <c r="B248" s="310"/>
      <c r="C248" s="311"/>
      <c r="D248" s="189"/>
      <c r="E248" s="30">
        <f t="shared" si="43"/>
        <v>5643.80397</v>
      </c>
      <c r="F248" s="30">
        <v>0</v>
      </c>
      <c r="G248" s="30">
        <v>0</v>
      </c>
      <c r="H248" s="30"/>
      <c r="I248" s="30"/>
      <c r="J248" s="30">
        <f>4712.3+667.168+264.33597</f>
        <v>5643.80397</v>
      </c>
      <c r="K248" s="30">
        <v>0</v>
      </c>
      <c r="L248" s="11" t="s">
        <v>167</v>
      </c>
      <c r="M248" s="169"/>
    </row>
    <row r="249" spans="1:13" s="102" customFormat="1" ht="24.75" customHeight="1">
      <c r="A249" s="223"/>
      <c r="B249" s="310"/>
      <c r="C249" s="311"/>
      <c r="D249" s="189"/>
      <c r="E249" s="30">
        <f t="shared" si="43"/>
        <v>5746.63146</v>
      </c>
      <c r="F249" s="30">
        <v>0</v>
      </c>
      <c r="G249" s="30">
        <f t="shared" si="44"/>
        <v>0</v>
      </c>
      <c r="H249" s="30"/>
      <c r="I249" s="30"/>
      <c r="J249" s="30">
        <v>5746.63146</v>
      </c>
      <c r="K249" s="30">
        <v>0</v>
      </c>
      <c r="L249" s="11" t="s">
        <v>166</v>
      </c>
      <c r="M249" s="169"/>
    </row>
    <row r="250" spans="1:13" s="102" customFormat="1" ht="24.75" customHeight="1">
      <c r="A250" s="223"/>
      <c r="B250" s="310"/>
      <c r="C250" s="311"/>
      <c r="D250" s="189"/>
      <c r="E250" s="30">
        <f t="shared" si="43"/>
        <v>59.5</v>
      </c>
      <c r="F250" s="30">
        <v>0</v>
      </c>
      <c r="G250" s="30">
        <f t="shared" si="44"/>
        <v>0</v>
      </c>
      <c r="H250" s="30"/>
      <c r="I250" s="30"/>
      <c r="J250" s="30">
        <v>59.5</v>
      </c>
      <c r="K250" s="30">
        <v>0</v>
      </c>
      <c r="L250" s="11" t="s">
        <v>165</v>
      </c>
      <c r="M250" s="169"/>
    </row>
    <row r="251" spans="1:13" s="102" customFormat="1" ht="43.5" customHeight="1">
      <c r="A251" s="223"/>
      <c r="B251" s="310"/>
      <c r="C251" s="311"/>
      <c r="D251" s="189"/>
      <c r="E251" s="30">
        <f t="shared" si="43"/>
        <v>6929.835289999999</v>
      </c>
      <c r="F251" s="30">
        <v>0</v>
      </c>
      <c r="G251" s="30">
        <f t="shared" si="44"/>
        <v>1139.636</v>
      </c>
      <c r="H251" s="30"/>
      <c r="I251" s="30">
        <v>1139.636</v>
      </c>
      <c r="J251" s="30">
        <f>5849.69929-59.5</f>
        <v>5790.19929</v>
      </c>
      <c r="K251" s="30">
        <v>0</v>
      </c>
      <c r="L251" s="11" t="s">
        <v>58</v>
      </c>
      <c r="M251" s="169"/>
    </row>
    <row r="252" spans="1:13" s="102" customFormat="1" ht="27" customHeight="1">
      <c r="A252" s="223"/>
      <c r="B252" s="310"/>
      <c r="C252" s="311"/>
      <c r="D252" s="189">
        <v>2020</v>
      </c>
      <c r="E252" s="60">
        <f t="shared" si="43"/>
        <v>214948.897</v>
      </c>
      <c r="F252" s="60">
        <f>SUM(F253:F259)</f>
        <v>137561.4</v>
      </c>
      <c r="G252" s="60">
        <f>H252+I252</f>
        <v>1139.636</v>
      </c>
      <c r="H252" s="60">
        <f>H253+H254+H255+H256+H257+H258+H259</f>
        <v>0</v>
      </c>
      <c r="I252" s="60">
        <f>I253+I254+I255+I256+I257+I258+I259</f>
        <v>1139.636</v>
      </c>
      <c r="J252" s="60">
        <f>J253+J254+J255+J256+J257+J258+J259</f>
        <v>76247.861</v>
      </c>
      <c r="K252" s="60">
        <v>0</v>
      </c>
      <c r="L252" s="11"/>
      <c r="M252" s="169"/>
    </row>
    <row r="253" spans="1:13" s="102" customFormat="1" ht="27" customHeight="1">
      <c r="A253" s="223"/>
      <c r="B253" s="310"/>
      <c r="C253" s="311"/>
      <c r="D253" s="189"/>
      <c r="E253" s="60">
        <f aca="true" t="shared" si="45" ref="E253:E259">F253+G253+J253+K253</f>
        <v>23257.607</v>
      </c>
      <c r="F253" s="30">
        <v>12652.495</v>
      </c>
      <c r="G253" s="30">
        <f>H253+I253</f>
        <v>0</v>
      </c>
      <c r="H253" s="30"/>
      <c r="I253" s="30"/>
      <c r="J253" s="30">
        <v>10605.112</v>
      </c>
      <c r="K253" s="30">
        <v>0</v>
      </c>
      <c r="L253" s="11" t="s">
        <v>10</v>
      </c>
      <c r="M253" s="169"/>
    </row>
    <row r="254" spans="1:13" s="102" customFormat="1" ht="27" customHeight="1">
      <c r="A254" s="223"/>
      <c r="B254" s="310"/>
      <c r="C254" s="311"/>
      <c r="D254" s="189"/>
      <c r="E254" s="60">
        <f t="shared" si="45"/>
        <v>51515.157</v>
      </c>
      <c r="F254" s="30">
        <v>30123.143</v>
      </c>
      <c r="G254" s="30">
        <f aca="true" t="shared" si="46" ref="G254:G259">H254+I254</f>
        <v>0</v>
      </c>
      <c r="H254" s="30"/>
      <c r="I254" s="30"/>
      <c r="J254" s="30">
        <v>21392.014</v>
      </c>
      <c r="K254" s="30">
        <v>0</v>
      </c>
      <c r="L254" s="11" t="s">
        <v>33</v>
      </c>
      <c r="M254" s="169"/>
    </row>
    <row r="255" spans="1:13" s="102" customFormat="1" ht="27" customHeight="1">
      <c r="A255" s="223"/>
      <c r="B255" s="310"/>
      <c r="C255" s="311"/>
      <c r="D255" s="189"/>
      <c r="E255" s="60">
        <f t="shared" si="45"/>
        <v>28304.396999999997</v>
      </c>
      <c r="F255" s="30">
        <v>15424.362</v>
      </c>
      <c r="G255" s="30">
        <f t="shared" si="46"/>
        <v>0</v>
      </c>
      <c r="H255" s="30"/>
      <c r="I255" s="30"/>
      <c r="J255" s="30">
        <v>12880.035</v>
      </c>
      <c r="K255" s="30">
        <v>0</v>
      </c>
      <c r="L255" s="11" t="s">
        <v>34</v>
      </c>
      <c r="M255" s="169"/>
    </row>
    <row r="256" spans="1:13" s="102" customFormat="1" ht="27" customHeight="1">
      <c r="A256" s="223"/>
      <c r="B256" s="310"/>
      <c r="C256" s="311"/>
      <c r="D256" s="189"/>
      <c r="E256" s="60">
        <f t="shared" si="45"/>
        <v>44577.263999999996</v>
      </c>
      <c r="F256" s="30">
        <v>37710.681</v>
      </c>
      <c r="G256" s="30">
        <f t="shared" si="46"/>
        <v>0</v>
      </c>
      <c r="H256" s="30"/>
      <c r="I256" s="30"/>
      <c r="J256" s="30">
        <v>6866.583</v>
      </c>
      <c r="K256" s="30">
        <v>0</v>
      </c>
      <c r="L256" s="11" t="s">
        <v>35</v>
      </c>
      <c r="M256" s="169"/>
    </row>
    <row r="257" spans="1:13" s="102" customFormat="1" ht="27" customHeight="1">
      <c r="A257" s="223"/>
      <c r="B257" s="310"/>
      <c r="C257" s="311"/>
      <c r="D257" s="189"/>
      <c r="E257" s="60">
        <f t="shared" si="45"/>
        <v>49650.251</v>
      </c>
      <c r="F257" s="30">
        <v>41650.719</v>
      </c>
      <c r="G257" s="30">
        <f t="shared" si="46"/>
        <v>0</v>
      </c>
      <c r="H257" s="30"/>
      <c r="I257" s="30"/>
      <c r="J257" s="30">
        <v>7999.532</v>
      </c>
      <c r="K257" s="30">
        <v>0</v>
      </c>
      <c r="L257" s="11" t="s">
        <v>21</v>
      </c>
      <c r="M257" s="169"/>
    </row>
    <row r="258" spans="1:13" s="102" customFormat="1" ht="27" customHeight="1">
      <c r="A258" s="223"/>
      <c r="B258" s="310"/>
      <c r="C258" s="311"/>
      <c r="D258" s="189"/>
      <c r="E258" s="60">
        <f t="shared" si="45"/>
        <v>11699.803</v>
      </c>
      <c r="F258" s="30">
        <v>0</v>
      </c>
      <c r="G258" s="30">
        <f t="shared" si="46"/>
        <v>0</v>
      </c>
      <c r="H258" s="30"/>
      <c r="I258" s="30"/>
      <c r="J258" s="30">
        <v>11699.803</v>
      </c>
      <c r="K258" s="30">
        <v>0</v>
      </c>
      <c r="L258" s="11" t="s">
        <v>36</v>
      </c>
      <c r="M258" s="169"/>
    </row>
    <row r="259" spans="1:13" s="102" customFormat="1" ht="39.75" customHeight="1">
      <c r="A259" s="223"/>
      <c r="B259" s="310"/>
      <c r="C259" s="311"/>
      <c r="D259" s="189"/>
      <c r="E259" s="60">
        <f t="shared" si="45"/>
        <v>5944.418</v>
      </c>
      <c r="F259" s="30">
        <v>0</v>
      </c>
      <c r="G259" s="30">
        <f t="shared" si="46"/>
        <v>1139.636</v>
      </c>
      <c r="H259" s="30"/>
      <c r="I259" s="30">
        <v>1139.636</v>
      </c>
      <c r="J259" s="30">
        <v>4804.782</v>
      </c>
      <c r="K259" s="30">
        <v>0</v>
      </c>
      <c r="L259" s="11" t="s">
        <v>58</v>
      </c>
      <c r="M259" s="169"/>
    </row>
    <row r="260" spans="1:13" s="102" customFormat="1" ht="39.75" customHeight="1">
      <c r="A260" s="223"/>
      <c r="B260" s="310"/>
      <c r="C260" s="311"/>
      <c r="D260" s="16">
        <v>2021</v>
      </c>
      <c r="E260" s="60">
        <f>F260+G260+J260+K260</f>
        <v>214872.097</v>
      </c>
      <c r="F260" s="60">
        <f>SUM(F261:F267)</f>
        <v>137562.7</v>
      </c>
      <c r="G260" s="60">
        <f>H260+I260</f>
        <v>1139.636</v>
      </c>
      <c r="H260" s="60">
        <f>H261+H262+H263+H264+H265+H266+H267</f>
        <v>0</v>
      </c>
      <c r="I260" s="60">
        <f>I261+I262+I263+I264+I265+I266+I267</f>
        <v>1139.636</v>
      </c>
      <c r="J260" s="60">
        <f>J261+J262+J263+J264+J265+J266+J267</f>
        <v>76169.76100000001</v>
      </c>
      <c r="K260" s="60">
        <v>0</v>
      </c>
      <c r="L260" s="11"/>
      <c r="M260" s="169"/>
    </row>
    <row r="261" spans="1:13" s="102" customFormat="1" ht="39.75" customHeight="1">
      <c r="A261" s="223"/>
      <c r="B261" s="310"/>
      <c r="C261" s="311"/>
      <c r="D261" s="16"/>
      <c r="E261" s="60">
        <f>F261+G261+J261+K261</f>
        <v>23255.257</v>
      </c>
      <c r="F261" s="30">
        <v>12652.495</v>
      </c>
      <c r="G261" s="30">
        <f>H261+I261</f>
        <v>0</v>
      </c>
      <c r="H261" s="30"/>
      <c r="I261" s="30"/>
      <c r="J261" s="30">
        <v>10602.762</v>
      </c>
      <c r="K261" s="30">
        <v>0</v>
      </c>
      <c r="L261" s="11" t="s">
        <v>10</v>
      </c>
      <c r="M261" s="169"/>
    </row>
    <row r="262" spans="1:13" s="102" customFormat="1" ht="39.75" customHeight="1">
      <c r="A262" s="223"/>
      <c r="B262" s="310"/>
      <c r="C262" s="311"/>
      <c r="D262" s="16"/>
      <c r="E262" s="60">
        <f aca="true" t="shared" si="47" ref="E262:E267">F262+G262+J262+K262</f>
        <v>51505.507</v>
      </c>
      <c r="F262" s="30">
        <v>30123.143</v>
      </c>
      <c r="G262" s="30">
        <f aca="true" t="shared" si="48" ref="G262:G267">H262+I262</f>
        <v>0</v>
      </c>
      <c r="H262" s="30"/>
      <c r="I262" s="30"/>
      <c r="J262" s="30">
        <v>21382.364</v>
      </c>
      <c r="K262" s="30">
        <v>0</v>
      </c>
      <c r="L262" s="11" t="s">
        <v>33</v>
      </c>
      <c r="M262" s="169"/>
    </row>
    <row r="263" spans="1:13" s="102" customFormat="1" ht="39.75" customHeight="1">
      <c r="A263" s="223"/>
      <c r="B263" s="310"/>
      <c r="C263" s="311"/>
      <c r="D263" s="16"/>
      <c r="E263" s="60">
        <f t="shared" si="47"/>
        <v>28289.847</v>
      </c>
      <c r="F263" s="30">
        <v>15424.362</v>
      </c>
      <c r="G263" s="30">
        <f t="shared" si="48"/>
        <v>0</v>
      </c>
      <c r="H263" s="30"/>
      <c r="I263" s="30"/>
      <c r="J263" s="30">
        <v>12865.485</v>
      </c>
      <c r="K263" s="30">
        <v>0</v>
      </c>
      <c r="L263" s="11" t="s">
        <v>34</v>
      </c>
      <c r="M263" s="169"/>
    </row>
    <row r="264" spans="1:13" s="102" customFormat="1" ht="39.75" customHeight="1">
      <c r="A264" s="223"/>
      <c r="B264" s="310"/>
      <c r="C264" s="311"/>
      <c r="D264" s="16"/>
      <c r="E264" s="60">
        <f t="shared" si="47"/>
        <v>44571.731999999996</v>
      </c>
      <c r="F264" s="30">
        <v>37711.299</v>
      </c>
      <c r="G264" s="30">
        <f t="shared" si="48"/>
        <v>0</v>
      </c>
      <c r="H264" s="30"/>
      <c r="I264" s="30"/>
      <c r="J264" s="30">
        <v>6860.433</v>
      </c>
      <c r="K264" s="30">
        <v>0</v>
      </c>
      <c r="L264" s="11" t="s">
        <v>35</v>
      </c>
      <c r="M264" s="169"/>
    </row>
    <row r="265" spans="1:13" s="102" customFormat="1" ht="39.75" customHeight="1">
      <c r="A265" s="223"/>
      <c r="B265" s="310"/>
      <c r="C265" s="311"/>
      <c r="D265" s="16"/>
      <c r="E265" s="60">
        <f t="shared" si="47"/>
        <v>49615.333</v>
      </c>
      <c r="F265" s="30">
        <v>41651.401</v>
      </c>
      <c r="G265" s="30">
        <f t="shared" si="48"/>
        <v>0</v>
      </c>
      <c r="H265" s="30"/>
      <c r="I265" s="30"/>
      <c r="J265" s="30">
        <v>7963.932</v>
      </c>
      <c r="K265" s="30">
        <v>0</v>
      </c>
      <c r="L265" s="11" t="s">
        <v>21</v>
      </c>
      <c r="M265" s="169"/>
    </row>
    <row r="266" spans="1:13" s="102" customFormat="1" ht="39.75" customHeight="1">
      <c r="A266" s="223"/>
      <c r="B266" s="310"/>
      <c r="C266" s="311"/>
      <c r="D266" s="16"/>
      <c r="E266" s="60">
        <f t="shared" si="47"/>
        <v>11690.003</v>
      </c>
      <c r="F266" s="30">
        <v>0</v>
      </c>
      <c r="G266" s="30">
        <f t="shared" si="48"/>
        <v>0</v>
      </c>
      <c r="H266" s="30"/>
      <c r="I266" s="30"/>
      <c r="J266" s="30">
        <v>11690.003</v>
      </c>
      <c r="K266" s="30">
        <v>0</v>
      </c>
      <c r="L266" s="11" t="s">
        <v>36</v>
      </c>
      <c r="M266" s="169"/>
    </row>
    <row r="267" spans="1:13" s="102" customFormat="1" ht="39.75" customHeight="1">
      <c r="A267" s="223"/>
      <c r="B267" s="310"/>
      <c r="C267" s="311"/>
      <c r="D267" s="16"/>
      <c r="E267" s="60">
        <f t="shared" si="47"/>
        <v>5944.418</v>
      </c>
      <c r="F267" s="30">
        <v>0</v>
      </c>
      <c r="G267" s="30">
        <f t="shared" si="48"/>
        <v>1139.636</v>
      </c>
      <c r="H267" s="30"/>
      <c r="I267" s="30">
        <v>1139.636</v>
      </c>
      <c r="J267" s="30">
        <v>4804.782</v>
      </c>
      <c r="K267" s="30">
        <v>0</v>
      </c>
      <c r="L267" s="11" t="s">
        <v>58</v>
      </c>
      <c r="M267" s="169"/>
    </row>
    <row r="268" spans="1:13" s="102" customFormat="1" ht="27" customHeight="1">
      <c r="A268" s="223"/>
      <c r="B268" s="310"/>
      <c r="C268" s="311"/>
      <c r="D268" s="189">
        <v>2022</v>
      </c>
      <c r="E268" s="60">
        <f>F268+G268+J268+K268</f>
        <v>214872.097</v>
      </c>
      <c r="F268" s="60">
        <f>SUM(F269:F275)</f>
        <v>137562.7</v>
      </c>
      <c r="G268" s="60">
        <f>H268+I268</f>
        <v>1139.636</v>
      </c>
      <c r="H268" s="60">
        <f>H269+H270+H271+H272+H273+H274+H275</f>
        <v>0</v>
      </c>
      <c r="I268" s="60">
        <f>I269+I270+I271+I272+I273+I274+I275</f>
        <v>1139.636</v>
      </c>
      <c r="J268" s="60">
        <f>J269+J270+J271+J272+J273+J274+J275</f>
        <v>76169.76100000001</v>
      </c>
      <c r="K268" s="60">
        <v>0</v>
      </c>
      <c r="L268" s="11"/>
      <c r="M268" s="169"/>
    </row>
    <row r="269" spans="1:13" s="102" customFormat="1" ht="27" customHeight="1">
      <c r="A269" s="223"/>
      <c r="B269" s="310"/>
      <c r="C269" s="311"/>
      <c r="D269" s="189"/>
      <c r="E269" s="60">
        <f>F269+G269+J269+K269</f>
        <v>23255.257</v>
      </c>
      <c r="F269" s="30">
        <v>12652.495</v>
      </c>
      <c r="G269" s="30">
        <f>H269+I269</f>
        <v>0</v>
      </c>
      <c r="H269" s="30"/>
      <c r="I269" s="30"/>
      <c r="J269" s="30">
        <v>10602.762</v>
      </c>
      <c r="K269" s="30">
        <v>0</v>
      </c>
      <c r="L269" s="11" t="s">
        <v>10</v>
      </c>
      <c r="M269" s="169"/>
    </row>
    <row r="270" spans="1:13" s="102" customFormat="1" ht="27" customHeight="1">
      <c r="A270" s="223"/>
      <c r="B270" s="310"/>
      <c r="C270" s="311"/>
      <c r="D270" s="189"/>
      <c r="E270" s="60">
        <f aca="true" t="shared" si="49" ref="E270:E275">F270+G270+J270+K270</f>
        <v>51505.507</v>
      </c>
      <c r="F270" s="30">
        <v>30123.143</v>
      </c>
      <c r="G270" s="30">
        <f aca="true" t="shared" si="50" ref="G270:G275">H270+I270</f>
        <v>0</v>
      </c>
      <c r="H270" s="30"/>
      <c r="I270" s="30"/>
      <c r="J270" s="30">
        <v>21382.364</v>
      </c>
      <c r="K270" s="30">
        <v>0</v>
      </c>
      <c r="L270" s="11" t="s">
        <v>33</v>
      </c>
      <c r="M270" s="169"/>
    </row>
    <row r="271" spans="1:13" s="102" customFormat="1" ht="27" customHeight="1">
      <c r="A271" s="223"/>
      <c r="B271" s="310"/>
      <c r="C271" s="311"/>
      <c r="D271" s="189"/>
      <c r="E271" s="60">
        <f t="shared" si="49"/>
        <v>28289.847</v>
      </c>
      <c r="F271" s="30">
        <v>15424.362</v>
      </c>
      <c r="G271" s="30">
        <f t="shared" si="50"/>
        <v>0</v>
      </c>
      <c r="H271" s="30"/>
      <c r="I271" s="30"/>
      <c r="J271" s="30">
        <v>12865.485</v>
      </c>
      <c r="K271" s="30">
        <v>0</v>
      </c>
      <c r="L271" s="11" t="s">
        <v>34</v>
      </c>
      <c r="M271" s="169"/>
    </row>
    <row r="272" spans="1:13" s="102" customFormat="1" ht="27" customHeight="1">
      <c r="A272" s="223"/>
      <c r="B272" s="310"/>
      <c r="C272" s="311"/>
      <c r="D272" s="189"/>
      <c r="E272" s="60">
        <f t="shared" si="49"/>
        <v>44571.731999999996</v>
      </c>
      <c r="F272" s="30">
        <v>37711.299</v>
      </c>
      <c r="G272" s="30">
        <f t="shared" si="50"/>
        <v>0</v>
      </c>
      <c r="H272" s="30"/>
      <c r="I272" s="30"/>
      <c r="J272" s="30">
        <v>6860.433</v>
      </c>
      <c r="K272" s="30">
        <v>0</v>
      </c>
      <c r="L272" s="11" t="s">
        <v>35</v>
      </c>
      <c r="M272" s="169"/>
    </row>
    <row r="273" spans="1:13" s="102" customFormat="1" ht="39" customHeight="1">
      <c r="A273" s="223"/>
      <c r="B273" s="310"/>
      <c r="C273" s="311"/>
      <c r="D273" s="189"/>
      <c r="E273" s="60">
        <f t="shared" si="49"/>
        <v>49615.333</v>
      </c>
      <c r="F273" s="30">
        <v>41651.401</v>
      </c>
      <c r="G273" s="30">
        <f t="shared" si="50"/>
        <v>0</v>
      </c>
      <c r="H273" s="30"/>
      <c r="I273" s="30"/>
      <c r="J273" s="30">
        <v>7963.932</v>
      </c>
      <c r="K273" s="30">
        <v>0</v>
      </c>
      <c r="L273" s="11" t="s">
        <v>21</v>
      </c>
      <c r="M273" s="169"/>
    </row>
    <row r="274" spans="1:13" s="102" customFormat="1" ht="29.25" customHeight="1">
      <c r="A274" s="223"/>
      <c r="B274" s="310"/>
      <c r="C274" s="311"/>
      <c r="D274" s="189"/>
      <c r="E274" s="60">
        <f t="shared" si="49"/>
        <v>11690.003</v>
      </c>
      <c r="F274" s="30">
        <v>0</v>
      </c>
      <c r="G274" s="30">
        <f t="shared" si="50"/>
        <v>0</v>
      </c>
      <c r="H274" s="30"/>
      <c r="I274" s="30"/>
      <c r="J274" s="30">
        <v>11690.003</v>
      </c>
      <c r="K274" s="30">
        <v>0</v>
      </c>
      <c r="L274" s="11" t="s">
        <v>36</v>
      </c>
      <c r="M274" s="169"/>
    </row>
    <row r="275" spans="1:13" s="102" customFormat="1" ht="39.75" customHeight="1">
      <c r="A275" s="223"/>
      <c r="B275" s="312"/>
      <c r="C275" s="313"/>
      <c r="D275" s="189"/>
      <c r="E275" s="60">
        <f t="shared" si="49"/>
        <v>5944.418</v>
      </c>
      <c r="F275" s="30">
        <v>0</v>
      </c>
      <c r="G275" s="30">
        <f t="shared" si="50"/>
        <v>1139.636</v>
      </c>
      <c r="H275" s="30"/>
      <c r="I275" s="30">
        <v>1139.636</v>
      </c>
      <c r="J275" s="30">
        <v>4804.782</v>
      </c>
      <c r="K275" s="30">
        <v>0</v>
      </c>
      <c r="L275" s="11" t="s">
        <v>58</v>
      </c>
      <c r="M275" s="169"/>
    </row>
    <row r="276" spans="1:13" s="102" customFormat="1" ht="27" customHeight="1">
      <c r="A276" s="224"/>
      <c r="B276" s="243" t="s">
        <v>42</v>
      </c>
      <c r="C276" s="243"/>
      <c r="D276" s="16">
        <v>2017</v>
      </c>
      <c r="E276" s="60">
        <f aca="true" t="shared" si="51" ref="E276:J276">E217+E226</f>
        <v>216780.416</v>
      </c>
      <c r="F276" s="60">
        <f t="shared" si="51"/>
        <v>124615.2</v>
      </c>
      <c r="G276" s="60">
        <f t="shared" si="51"/>
        <v>727</v>
      </c>
      <c r="H276" s="60">
        <f t="shared" si="51"/>
        <v>0</v>
      </c>
      <c r="I276" s="60">
        <f>I217+I226</f>
        <v>727</v>
      </c>
      <c r="J276" s="60">
        <f t="shared" si="51"/>
        <v>91438.216</v>
      </c>
      <c r="K276" s="60">
        <f>K226+K217+K208+K177+K176+K175+K174+K173+K172+K171+K136+K135</f>
        <v>0</v>
      </c>
      <c r="L276" s="14"/>
      <c r="M276" s="32"/>
    </row>
    <row r="277" spans="1:13" s="102" customFormat="1" ht="27" customHeight="1">
      <c r="A277" s="224"/>
      <c r="B277" s="243"/>
      <c r="C277" s="243"/>
      <c r="D277" s="16">
        <v>2018</v>
      </c>
      <c r="E277" s="60">
        <f aca="true" t="shared" si="52" ref="E277:J277">E236+E228</f>
        <v>209116.99978</v>
      </c>
      <c r="F277" s="60">
        <f t="shared" si="52"/>
        <v>137344.5</v>
      </c>
      <c r="G277" s="60">
        <f t="shared" si="52"/>
        <v>1006.9820000000001</v>
      </c>
      <c r="H277" s="60">
        <f t="shared" si="52"/>
        <v>0</v>
      </c>
      <c r="I277" s="60">
        <f t="shared" si="52"/>
        <v>1006.9820000000001</v>
      </c>
      <c r="J277" s="60">
        <f t="shared" si="52"/>
        <v>70765.51778000001</v>
      </c>
      <c r="K277" s="60">
        <f>K228</f>
        <v>0</v>
      </c>
      <c r="L277" s="14"/>
      <c r="M277" s="32"/>
    </row>
    <row r="278" spans="1:13" s="102" customFormat="1" ht="27" customHeight="1">
      <c r="A278" s="224"/>
      <c r="B278" s="243"/>
      <c r="C278" s="243"/>
      <c r="D278" s="16">
        <v>2019</v>
      </c>
      <c r="E278" s="60">
        <f>E242</f>
        <v>222281.26301000002</v>
      </c>
      <c r="F278" s="60">
        <f>F242</f>
        <v>144858</v>
      </c>
      <c r="G278" s="60">
        <f>H278+I278</f>
        <v>1139.636</v>
      </c>
      <c r="H278" s="60">
        <f>H242</f>
        <v>0</v>
      </c>
      <c r="I278" s="60">
        <f>I242</f>
        <v>1139.636</v>
      </c>
      <c r="J278" s="60">
        <f>J242</f>
        <v>75726.67232000001</v>
      </c>
      <c r="K278" s="60">
        <f>K242</f>
        <v>556.95469</v>
      </c>
      <c r="L278" s="14"/>
      <c r="M278" s="32"/>
    </row>
    <row r="279" spans="1:13" s="102" customFormat="1" ht="27" customHeight="1">
      <c r="A279" s="224"/>
      <c r="B279" s="243"/>
      <c r="C279" s="243"/>
      <c r="D279" s="16">
        <v>2020</v>
      </c>
      <c r="E279" s="60">
        <f aca="true" t="shared" si="53" ref="E279:K279">E252</f>
        <v>214948.897</v>
      </c>
      <c r="F279" s="60">
        <f t="shared" si="53"/>
        <v>137561.4</v>
      </c>
      <c r="G279" s="60">
        <f t="shared" si="53"/>
        <v>1139.636</v>
      </c>
      <c r="H279" s="60">
        <f t="shared" si="53"/>
        <v>0</v>
      </c>
      <c r="I279" s="60">
        <f t="shared" si="53"/>
        <v>1139.636</v>
      </c>
      <c r="J279" s="60">
        <f t="shared" si="53"/>
        <v>76247.861</v>
      </c>
      <c r="K279" s="60">
        <f t="shared" si="53"/>
        <v>0</v>
      </c>
      <c r="L279" s="14"/>
      <c r="M279" s="32"/>
    </row>
    <row r="280" spans="1:13" s="102" customFormat="1" ht="27" customHeight="1">
      <c r="A280" s="224"/>
      <c r="B280" s="243"/>
      <c r="C280" s="243"/>
      <c r="D280" s="16">
        <v>2021</v>
      </c>
      <c r="E280" s="60">
        <f aca="true" t="shared" si="54" ref="E280:J280">E260</f>
        <v>214872.097</v>
      </c>
      <c r="F280" s="60">
        <f t="shared" si="54"/>
        <v>137562.7</v>
      </c>
      <c r="G280" s="60">
        <f t="shared" si="54"/>
        <v>1139.636</v>
      </c>
      <c r="H280" s="60">
        <f t="shared" si="54"/>
        <v>0</v>
      </c>
      <c r="I280" s="60">
        <f t="shared" si="54"/>
        <v>1139.636</v>
      </c>
      <c r="J280" s="60">
        <f t="shared" si="54"/>
        <v>76169.76100000001</v>
      </c>
      <c r="K280" s="60">
        <f>K267</f>
        <v>0</v>
      </c>
      <c r="L280" s="14"/>
      <c r="M280" s="32"/>
    </row>
    <row r="281" spans="1:13" s="102" customFormat="1" ht="27" customHeight="1">
      <c r="A281" s="224"/>
      <c r="B281" s="243"/>
      <c r="C281" s="243"/>
      <c r="D281" s="16">
        <v>2022</v>
      </c>
      <c r="E281" s="60">
        <f aca="true" t="shared" si="55" ref="E281:J281">E268</f>
        <v>214872.097</v>
      </c>
      <c r="F281" s="60">
        <f t="shared" si="55"/>
        <v>137562.7</v>
      </c>
      <c r="G281" s="60">
        <f t="shared" si="55"/>
        <v>1139.636</v>
      </c>
      <c r="H281" s="60">
        <f t="shared" si="55"/>
        <v>0</v>
      </c>
      <c r="I281" s="60">
        <f t="shared" si="55"/>
        <v>1139.636</v>
      </c>
      <c r="J281" s="60">
        <f t="shared" si="55"/>
        <v>76169.76100000001</v>
      </c>
      <c r="K281" s="60">
        <f>K268</f>
        <v>0</v>
      </c>
      <c r="L281" s="14"/>
      <c r="M281" s="32"/>
    </row>
    <row r="282" spans="1:13" s="102" customFormat="1" ht="27" customHeight="1">
      <c r="A282" s="244" t="s">
        <v>61</v>
      </c>
      <c r="B282" s="297"/>
      <c r="C282" s="297"/>
      <c r="D282" s="297"/>
      <c r="E282" s="297"/>
      <c r="F282" s="297"/>
      <c r="G282" s="297"/>
      <c r="H282" s="297"/>
      <c r="I282" s="297"/>
      <c r="J282" s="297"/>
      <c r="K282" s="297"/>
      <c r="L282" s="297"/>
      <c r="M282" s="298"/>
    </row>
    <row r="283" spans="1:13" s="102" customFormat="1" ht="27" customHeight="1">
      <c r="A283" s="202" t="s">
        <v>150</v>
      </c>
      <c r="B283" s="254"/>
      <c r="C283" s="254"/>
      <c r="D283" s="254"/>
      <c r="E283" s="254"/>
      <c r="F283" s="254"/>
      <c r="G283" s="254"/>
      <c r="H283" s="254"/>
      <c r="I283" s="254"/>
      <c r="J283" s="254"/>
      <c r="K283" s="254"/>
      <c r="L283" s="255"/>
      <c r="M283" s="32"/>
    </row>
    <row r="284" spans="1:13" s="102" customFormat="1" ht="29.25" customHeight="1">
      <c r="A284" s="294" t="s">
        <v>26</v>
      </c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4"/>
    </row>
    <row r="285" spans="1:13" s="102" customFormat="1" ht="24.75" customHeight="1">
      <c r="A285" s="223" t="s">
        <v>96</v>
      </c>
      <c r="B285" s="218" t="s">
        <v>151</v>
      </c>
      <c r="C285" s="232"/>
      <c r="D285" s="16">
        <v>2017</v>
      </c>
      <c r="E285" s="59">
        <f aca="true" t="shared" si="56" ref="E285:E290">F285+G285+J285+K285</f>
        <v>7260.311</v>
      </c>
      <c r="F285" s="18"/>
      <c r="G285" s="18">
        <f aca="true" t="shared" si="57" ref="G285:G290">H285+I285</f>
        <v>0</v>
      </c>
      <c r="H285" s="59">
        <v>0</v>
      </c>
      <c r="I285" s="59">
        <v>0</v>
      </c>
      <c r="J285" s="59">
        <v>7260.311</v>
      </c>
      <c r="K285" s="18">
        <v>0</v>
      </c>
      <c r="L285" s="11" t="s">
        <v>161</v>
      </c>
      <c r="M285" s="169" t="s">
        <v>70</v>
      </c>
    </row>
    <row r="286" spans="1:13" s="102" customFormat="1" ht="24.75" customHeight="1">
      <c r="A286" s="223"/>
      <c r="B286" s="220"/>
      <c r="C286" s="233"/>
      <c r="D286" s="16">
        <v>2018</v>
      </c>
      <c r="E286" s="59">
        <f t="shared" si="56"/>
        <v>8308.2425</v>
      </c>
      <c r="F286" s="18"/>
      <c r="G286" s="18">
        <f t="shared" si="57"/>
        <v>0</v>
      </c>
      <c r="H286" s="59">
        <v>0</v>
      </c>
      <c r="I286" s="59">
        <v>0</v>
      </c>
      <c r="J286" s="59">
        <f>8213.1695+95.073</f>
        <v>8308.2425</v>
      </c>
      <c r="K286" s="18">
        <v>0</v>
      </c>
      <c r="L286" s="11" t="s">
        <v>161</v>
      </c>
      <c r="M286" s="169"/>
    </row>
    <row r="287" spans="1:13" s="102" customFormat="1" ht="24.75" customHeight="1">
      <c r="A287" s="223"/>
      <c r="B287" s="220"/>
      <c r="C287" s="233"/>
      <c r="D287" s="16">
        <v>2019</v>
      </c>
      <c r="E287" s="59">
        <f t="shared" si="56"/>
        <v>8729.252</v>
      </c>
      <c r="F287" s="18"/>
      <c r="G287" s="18">
        <f t="shared" si="57"/>
        <v>0</v>
      </c>
      <c r="H287" s="59">
        <v>0</v>
      </c>
      <c r="I287" s="59">
        <v>0</v>
      </c>
      <c r="J287" s="59">
        <v>8729.252</v>
      </c>
      <c r="K287" s="59">
        <v>0</v>
      </c>
      <c r="L287" s="11" t="s">
        <v>161</v>
      </c>
      <c r="M287" s="169"/>
    </row>
    <row r="288" spans="1:13" s="102" customFormat="1" ht="24.75" customHeight="1">
      <c r="A288" s="223"/>
      <c r="B288" s="220"/>
      <c r="C288" s="233"/>
      <c r="D288" s="16">
        <v>2020</v>
      </c>
      <c r="E288" s="59">
        <f t="shared" si="56"/>
        <v>7839.958</v>
      </c>
      <c r="F288" s="18"/>
      <c r="G288" s="18">
        <f t="shared" si="57"/>
        <v>0</v>
      </c>
      <c r="H288" s="59">
        <v>0</v>
      </c>
      <c r="I288" s="59">
        <v>0</v>
      </c>
      <c r="J288" s="59">
        <v>7839.958</v>
      </c>
      <c r="K288" s="18">
        <v>0</v>
      </c>
      <c r="L288" s="11" t="s">
        <v>161</v>
      </c>
      <c r="M288" s="169"/>
    </row>
    <row r="289" spans="1:13" s="102" customFormat="1" ht="24.75" customHeight="1">
      <c r="A289" s="223"/>
      <c r="B289" s="220"/>
      <c r="C289" s="233"/>
      <c r="D289" s="16">
        <v>2021</v>
      </c>
      <c r="E289" s="59">
        <f t="shared" si="56"/>
        <v>7839.958</v>
      </c>
      <c r="F289" s="18"/>
      <c r="G289" s="18">
        <f t="shared" si="57"/>
        <v>0</v>
      </c>
      <c r="H289" s="59">
        <v>0</v>
      </c>
      <c r="I289" s="59">
        <v>0</v>
      </c>
      <c r="J289" s="59">
        <v>7839.958</v>
      </c>
      <c r="K289" s="18">
        <v>0</v>
      </c>
      <c r="L289" s="11" t="s">
        <v>161</v>
      </c>
      <c r="M289" s="169"/>
    </row>
    <row r="290" spans="1:13" s="102" customFormat="1" ht="24.75" customHeight="1">
      <c r="A290" s="223"/>
      <c r="B290" s="216"/>
      <c r="C290" s="293"/>
      <c r="D290" s="16">
        <v>2022</v>
      </c>
      <c r="E290" s="59">
        <f t="shared" si="56"/>
        <v>7839.958</v>
      </c>
      <c r="F290" s="18"/>
      <c r="G290" s="18">
        <f t="shared" si="57"/>
        <v>0</v>
      </c>
      <c r="H290" s="59">
        <v>0</v>
      </c>
      <c r="I290" s="59">
        <v>0</v>
      </c>
      <c r="J290" s="59">
        <v>7839.958</v>
      </c>
      <c r="K290" s="18">
        <v>0</v>
      </c>
      <c r="L290" s="11" t="s">
        <v>161</v>
      </c>
      <c r="M290" s="169"/>
    </row>
    <row r="291" spans="1:13" s="102" customFormat="1" ht="27" customHeight="1">
      <c r="A291" s="304" t="s">
        <v>22</v>
      </c>
      <c r="B291" s="297"/>
      <c r="C291" s="297"/>
      <c r="D291" s="297"/>
      <c r="E291" s="297"/>
      <c r="F291" s="297"/>
      <c r="G291" s="297"/>
      <c r="H291" s="297"/>
      <c r="I291" s="297"/>
      <c r="J291" s="297"/>
      <c r="K291" s="297"/>
      <c r="L291" s="297"/>
      <c r="M291" s="298"/>
    </row>
    <row r="292" spans="1:13" s="102" customFormat="1" ht="27" customHeight="1">
      <c r="A292" s="305" t="s">
        <v>27</v>
      </c>
      <c r="B292" s="254"/>
      <c r="C292" s="254"/>
      <c r="D292" s="254"/>
      <c r="E292" s="254"/>
      <c r="F292" s="254"/>
      <c r="G292" s="254"/>
      <c r="H292" s="254"/>
      <c r="I292" s="254"/>
      <c r="J292" s="254"/>
      <c r="K292" s="254"/>
      <c r="L292" s="254"/>
      <c r="M292" s="255"/>
    </row>
    <row r="293" spans="1:13" s="102" customFormat="1" ht="27" customHeight="1">
      <c r="A293" s="306" t="s">
        <v>28</v>
      </c>
      <c r="B293" s="254"/>
      <c r="C293" s="254"/>
      <c r="D293" s="254"/>
      <c r="E293" s="254"/>
      <c r="F293" s="254"/>
      <c r="G293" s="254"/>
      <c r="H293" s="254"/>
      <c r="I293" s="254"/>
      <c r="J293" s="254"/>
      <c r="K293" s="254"/>
      <c r="L293" s="254"/>
      <c r="M293" s="255"/>
    </row>
    <row r="294" spans="1:13" s="102" customFormat="1" ht="24.75" customHeight="1">
      <c r="A294" s="223" t="s">
        <v>97</v>
      </c>
      <c r="B294" s="277" t="s">
        <v>152</v>
      </c>
      <c r="C294" s="277"/>
      <c r="D294" s="16">
        <v>2017</v>
      </c>
      <c r="E294" s="10">
        <f aca="true" t="shared" si="58" ref="E294:E312">F294+G294+J294+K294</f>
        <v>292.4</v>
      </c>
      <c r="F294" s="10">
        <v>292.4</v>
      </c>
      <c r="G294" s="10">
        <f>H294+I294</f>
        <v>0</v>
      </c>
      <c r="H294" s="10"/>
      <c r="I294" s="10">
        <v>0</v>
      </c>
      <c r="J294" s="31">
        <v>0</v>
      </c>
      <c r="K294" s="31">
        <v>0</v>
      </c>
      <c r="L294" s="11" t="s">
        <v>3</v>
      </c>
      <c r="M294" s="169" t="s">
        <v>62</v>
      </c>
    </row>
    <row r="295" spans="1:13" s="102" customFormat="1" ht="24.75" customHeight="1">
      <c r="A295" s="223"/>
      <c r="B295" s="277"/>
      <c r="C295" s="277"/>
      <c r="D295" s="16">
        <v>2018</v>
      </c>
      <c r="E295" s="10">
        <f t="shared" si="58"/>
        <v>233.2</v>
      </c>
      <c r="F295" s="10">
        <v>233.2</v>
      </c>
      <c r="G295" s="10">
        <f aca="true" t="shared" si="59" ref="G295:G311">H295+I295</f>
        <v>0</v>
      </c>
      <c r="H295" s="10"/>
      <c r="I295" s="10">
        <v>0</v>
      </c>
      <c r="J295" s="31">
        <v>0</v>
      </c>
      <c r="K295" s="31">
        <v>0</v>
      </c>
      <c r="L295" s="11" t="s">
        <v>3</v>
      </c>
      <c r="M295" s="265"/>
    </row>
    <row r="296" spans="1:13" s="102" customFormat="1" ht="24.75" customHeight="1">
      <c r="A296" s="223"/>
      <c r="B296" s="277"/>
      <c r="C296" s="277"/>
      <c r="D296" s="16">
        <v>2019</v>
      </c>
      <c r="E296" s="10">
        <f t="shared" si="58"/>
        <v>281.9</v>
      </c>
      <c r="F296" s="10">
        <v>281.9</v>
      </c>
      <c r="G296" s="10">
        <f t="shared" si="59"/>
        <v>0</v>
      </c>
      <c r="H296" s="10"/>
      <c r="I296" s="10">
        <v>0</v>
      </c>
      <c r="J296" s="31">
        <v>0</v>
      </c>
      <c r="K296" s="31">
        <v>0</v>
      </c>
      <c r="L296" s="11" t="s">
        <v>3</v>
      </c>
      <c r="M296" s="265"/>
    </row>
    <row r="297" spans="1:13" s="102" customFormat="1" ht="24.75" customHeight="1">
      <c r="A297" s="223"/>
      <c r="B297" s="277"/>
      <c r="C297" s="277"/>
      <c r="D297" s="16">
        <v>2020</v>
      </c>
      <c r="E297" s="10">
        <f>F297+G297+J297+K297</f>
        <v>281.9</v>
      </c>
      <c r="F297" s="10">
        <v>281.9</v>
      </c>
      <c r="G297" s="10">
        <f>H297+I297</f>
        <v>0</v>
      </c>
      <c r="H297" s="10"/>
      <c r="I297" s="10">
        <v>0</v>
      </c>
      <c r="J297" s="31">
        <v>0</v>
      </c>
      <c r="K297" s="31">
        <v>0</v>
      </c>
      <c r="L297" s="11" t="s">
        <v>3</v>
      </c>
      <c r="M297" s="265"/>
    </row>
    <row r="298" spans="1:13" s="102" customFormat="1" ht="24.75" customHeight="1">
      <c r="A298" s="223"/>
      <c r="B298" s="277"/>
      <c r="C298" s="277"/>
      <c r="D298" s="16">
        <v>2021</v>
      </c>
      <c r="E298" s="10">
        <f>F298+G298+J298+K298</f>
        <v>281.9</v>
      </c>
      <c r="F298" s="10">
        <v>281.9</v>
      </c>
      <c r="G298" s="10">
        <f>H298+I298</f>
        <v>0</v>
      </c>
      <c r="H298" s="10"/>
      <c r="I298" s="10">
        <v>0</v>
      </c>
      <c r="J298" s="31">
        <v>0</v>
      </c>
      <c r="K298" s="31">
        <v>0</v>
      </c>
      <c r="L298" s="11" t="s">
        <v>3</v>
      </c>
      <c r="M298" s="265"/>
    </row>
    <row r="299" spans="1:13" s="102" customFormat="1" ht="24.75" customHeight="1">
      <c r="A299" s="223"/>
      <c r="B299" s="277"/>
      <c r="C299" s="277"/>
      <c r="D299" s="16">
        <v>2022</v>
      </c>
      <c r="E299" s="10">
        <f t="shared" si="58"/>
        <v>281.9</v>
      </c>
      <c r="F299" s="10">
        <v>281.9</v>
      </c>
      <c r="G299" s="10">
        <f t="shared" si="59"/>
        <v>0</v>
      </c>
      <c r="H299" s="10"/>
      <c r="I299" s="10">
        <v>0</v>
      </c>
      <c r="J299" s="31">
        <v>0</v>
      </c>
      <c r="K299" s="31">
        <v>0</v>
      </c>
      <c r="L299" s="11" t="s">
        <v>3</v>
      </c>
      <c r="M299" s="265"/>
    </row>
    <row r="300" spans="1:13" s="102" customFormat="1" ht="24.75" customHeight="1">
      <c r="A300" s="223" t="s">
        <v>98</v>
      </c>
      <c r="B300" s="169" t="s">
        <v>153</v>
      </c>
      <c r="C300" s="169"/>
      <c r="D300" s="16">
        <v>2017</v>
      </c>
      <c r="E300" s="10">
        <f t="shared" si="58"/>
        <v>96.8</v>
      </c>
      <c r="F300" s="10">
        <v>0</v>
      </c>
      <c r="G300" s="10">
        <f t="shared" si="59"/>
        <v>96.8</v>
      </c>
      <c r="H300" s="10"/>
      <c r="I300" s="10">
        <v>96.8</v>
      </c>
      <c r="J300" s="31">
        <v>0</v>
      </c>
      <c r="K300" s="31">
        <v>0</v>
      </c>
      <c r="L300" s="11" t="s">
        <v>3</v>
      </c>
      <c r="M300" s="169" t="s">
        <v>63</v>
      </c>
    </row>
    <row r="301" spans="1:13" s="102" customFormat="1" ht="24.75" customHeight="1">
      <c r="A301" s="223"/>
      <c r="B301" s="169"/>
      <c r="C301" s="169"/>
      <c r="D301" s="16">
        <v>2018</v>
      </c>
      <c r="E301" s="10">
        <f t="shared" si="58"/>
        <v>127.3</v>
      </c>
      <c r="F301" s="10">
        <v>0</v>
      </c>
      <c r="G301" s="10">
        <f t="shared" si="59"/>
        <v>127.3</v>
      </c>
      <c r="H301" s="10"/>
      <c r="I301" s="10">
        <v>127.3</v>
      </c>
      <c r="J301" s="31">
        <v>0</v>
      </c>
      <c r="K301" s="31">
        <v>0</v>
      </c>
      <c r="L301" s="11" t="s">
        <v>3</v>
      </c>
      <c r="M301" s="169"/>
    </row>
    <row r="302" spans="1:13" s="102" customFormat="1" ht="24.75" customHeight="1">
      <c r="A302" s="223"/>
      <c r="B302" s="169"/>
      <c r="C302" s="169"/>
      <c r="D302" s="16">
        <v>2019</v>
      </c>
      <c r="E302" s="10">
        <f t="shared" si="58"/>
        <v>132.7</v>
      </c>
      <c r="F302" s="10">
        <v>0</v>
      </c>
      <c r="G302" s="10">
        <f t="shared" si="59"/>
        <v>132.7</v>
      </c>
      <c r="H302" s="10"/>
      <c r="I302" s="10">
        <v>132.7</v>
      </c>
      <c r="J302" s="31">
        <v>0</v>
      </c>
      <c r="K302" s="31">
        <v>0</v>
      </c>
      <c r="L302" s="11" t="s">
        <v>3</v>
      </c>
      <c r="M302" s="169"/>
    </row>
    <row r="303" spans="1:13" s="102" customFormat="1" ht="24.75" customHeight="1">
      <c r="A303" s="223"/>
      <c r="B303" s="169"/>
      <c r="C303" s="169"/>
      <c r="D303" s="16">
        <v>2020</v>
      </c>
      <c r="E303" s="10">
        <f>F303+G303+J303+K303</f>
        <v>132.7</v>
      </c>
      <c r="F303" s="10">
        <v>0</v>
      </c>
      <c r="G303" s="10">
        <f>H303+I303</f>
        <v>132.7</v>
      </c>
      <c r="H303" s="10"/>
      <c r="I303" s="10">
        <v>132.7</v>
      </c>
      <c r="J303" s="31">
        <v>0</v>
      </c>
      <c r="K303" s="31">
        <v>0</v>
      </c>
      <c r="L303" s="11" t="s">
        <v>3</v>
      </c>
      <c r="M303" s="169"/>
    </row>
    <row r="304" spans="1:13" s="102" customFormat="1" ht="24.75" customHeight="1">
      <c r="A304" s="223"/>
      <c r="B304" s="169"/>
      <c r="C304" s="169"/>
      <c r="D304" s="16">
        <v>2021</v>
      </c>
      <c r="E304" s="10">
        <f>F304+G304+J304+K304</f>
        <v>132.7</v>
      </c>
      <c r="F304" s="10">
        <v>0</v>
      </c>
      <c r="G304" s="10">
        <f>H304+I304</f>
        <v>132.7</v>
      </c>
      <c r="H304" s="10"/>
      <c r="I304" s="10">
        <v>132.7</v>
      </c>
      <c r="J304" s="31">
        <v>0</v>
      </c>
      <c r="K304" s="31">
        <v>0</v>
      </c>
      <c r="L304" s="11" t="s">
        <v>3</v>
      </c>
      <c r="M304" s="169"/>
    </row>
    <row r="305" spans="1:13" s="102" customFormat="1" ht="24.75" customHeight="1">
      <c r="A305" s="223"/>
      <c r="B305" s="169"/>
      <c r="C305" s="169"/>
      <c r="D305" s="16">
        <v>2022</v>
      </c>
      <c r="E305" s="10">
        <f t="shared" si="58"/>
        <v>132.7</v>
      </c>
      <c r="F305" s="10">
        <v>0</v>
      </c>
      <c r="G305" s="10">
        <f t="shared" si="59"/>
        <v>132.7</v>
      </c>
      <c r="H305" s="10"/>
      <c r="I305" s="10">
        <v>132.7</v>
      </c>
      <c r="J305" s="31">
        <v>0</v>
      </c>
      <c r="K305" s="31">
        <v>0</v>
      </c>
      <c r="L305" s="11" t="s">
        <v>3</v>
      </c>
      <c r="M305" s="169"/>
    </row>
    <row r="306" spans="1:13" s="102" customFormat="1" ht="24.75" customHeight="1">
      <c r="A306" s="223" t="s">
        <v>99</v>
      </c>
      <c r="B306" s="169" t="s">
        <v>154</v>
      </c>
      <c r="C306" s="169"/>
      <c r="D306" s="16">
        <v>2017</v>
      </c>
      <c r="E306" s="10">
        <f t="shared" si="58"/>
        <v>5391.1</v>
      </c>
      <c r="F306" s="10">
        <v>5391.1</v>
      </c>
      <c r="G306" s="10">
        <f t="shared" si="59"/>
        <v>0</v>
      </c>
      <c r="H306" s="10"/>
      <c r="I306" s="10">
        <v>0</v>
      </c>
      <c r="J306" s="31">
        <v>0</v>
      </c>
      <c r="K306" s="31">
        <v>0</v>
      </c>
      <c r="L306" s="11" t="s">
        <v>3</v>
      </c>
      <c r="M306" s="169" t="s">
        <v>64</v>
      </c>
    </row>
    <row r="307" spans="1:13" s="102" customFormat="1" ht="24.75" customHeight="1">
      <c r="A307" s="223"/>
      <c r="B307" s="169"/>
      <c r="C307" s="169"/>
      <c r="D307" s="16">
        <v>2018</v>
      </c>
      <c r="E307" s="10">
        <f t="shared" si="58"/>
        <v>5870.4</v>
      </c>
      <c r="F307" s="10">
        <v>5870.4</v>
      </c>
      <c r="G307" s="10">
        <f t="shared" si="59"/>
        <v>0</v>
      </c>
      <c r="H307" s="10"/>
      <c r="I307" s="10">
        <v>0</v>
      </c>
      <c r="J307" s="31">
        <v>0</v>
      </c>
      <c r="K307" s="31">
        <v>0</v>
      </c>
      <c r="L307" s="11" t="s">
        <v>3</v>
      </c>
      <c r="M307" s="169"/>
    </row>
    <row r="308" spans="1:13" s="102" customFormat="1" ht="24.75" customHeight="1">
      <c r="A308" s="223"/>
      <c r="B308" s="169"/>
      <c r="C308" s="169"/>
      <c r="D308" s="16">
        <v>2019</v>
      </c>
      <c r="E308" s="10">
        <f t="shared" si="58"/>
        <v>5735.3</v>
      </c>
      <c r="F308" s="10">
        <v>5735.3</v>
      </c>
      <c r="G308" s="10">
        <f t="shared" si="59"/>
        <v>0</v>
      </c>
      <c r="H308" s="10"/>
      <c r="I308" s="10">
        <v>0</v>
      </c>
      <c r="J308" s="31">
        <v>0</v>
      </c>
      <c r="K308" s="31">
        <v>0</v>
      </c>
      <c r="L308" s="11" t="s">
        <v>3</v>
      </c>
      <c r="M308" s="169"/>
    </row>
    <row r="309" spans="1:13" s="102" customFormat="1" ht="24.75" customHeight="1">
      <c r="A309" s="223"/>
      <c r="B309" s="169"/>
      <c r="C309" s="169"/>
      <c r="D309" s="16">
        <v>2020</v>
      </c>
      <c r="E309" s="10">
        <f>F309+G309+J309+K309</f>
        <v>5735.3</v>
      </c>
      <c r="F309" s="10">
        <v>5735.3</v>
      </c>
      <c r="G309" s="10">
        <f>H309+I309</f>
        <v>0</v>
      </c>
      <c r="H309" s="10"/>
      <c r="I309" s="10">
        <v>0</v>
      </c>
      <c r="J309" s="31">
        <v>0</v>
      </c>
      <c r="K309" s="31">
        <v>0</v>
      </c>
      <c r="L309" s="11" t="s">
        <v>3</v>
      </c>
      <c r="M309" s="169"/>
    </row>
    <row r="310" spans="1:13" s="102" customFormat="1" ht="24.75" customHeight="1">
      <c r="A310" s="195"/>
      <c r="B310" s="267"/>
      <c r="C310" s="267"/>
      <c r="D310" s="81">
        <v>2021</v>
      </c>
      <c r="E310" s="83">
        <f>F310+G310+J310+K310</f>
        <v>5735.3</v>
      </c>
      <c r="F310" s="83">
        <v>5735.3</v>
      </c>
      <c r="G310" s="83">
        <f>H310+I310</f>
        <v>0</v>
      </c>
      <c r="H310" s="83"/>
      <c r="I310" s="83">
        <v>0</v>
      </c>
      <c r="J310" s="84">
        <v>0</v>
      </c>
      <c r="K310" s="84">
        <v>0</v>
      </c>
      <c r="L310" s="85" t="s">
        <v>3</v>
      </c>
      <c r="M310" s="267"/>
    </row>
    <row r="311" spans="1:13" s="102" customFormat="1" ht="24.75" customHeight="1" thickBot="1">
      <c r="A311" s="195"/>
      <c r="B311" s="267"/>
      <c r="C311" s="267"/>
      <c r="D311" s="81">
        <v>2022</v>
      </c>
      <c r="E311" s="83">
        <f t="shared" si="58"/>
        <v>5735.3</v>
      </c>
      <c r="F311" s="83">
        <v>5735.3</v>
      </c>
      <c r="G311" s="83">
        <f t="shared" si="59"/>
        <v>0</v>
      </c>
      <c r="H311" s="83"/>
      <c r="I311" s="83">
        <v>0</v>
      </c>
      <c r="J311" s="84">
        <v>0</v>
      </c>
      <c r="K311" s="84">
        <v>0</v>
      </c>
      <c r="L311" s="85" t="s">
        <v>3</v>
      </c>
      <c r="M311" s="267"/>
    </row>
    <row r="312" spans="1:13" s="102" customFormat="1" ht="30.75" customHeight="1">
      <c r="A312" s="269"/>
      <c r="B312" s="273" t="s">
        <v>37</v>
      </c>
      <c r="C312" s="273"/>
      <c r="D312" s="86">
        <v>2017</v>
      </c>
      <c r="E312" s="87">
        <f t="shared" si="58"/>
        <v>5780.3</v>
      </c>
      <c r="F312" s="87">
        <f aca="true" t="shared" si="60" ref="F312:H314">F294+F300+F306</f>
        <v>5683.5</v>
      </c>
      <c r="G312" s="87">
        <f>H312+I312</f>
        <v>96.8</v>
      </c>
      <c r="H312" s="87">
        <f aca="true" t="shared" si="61" ref="H312:K316">H294+H300+H306</f>
        <v>0</v>
      </c>
      <c r="I312" s="87">
        <f t="shared" si="61"/>
        <v>96.8</v>
      </c>
      <c r="J312" s="87">
        <v>0</v>
      </c>
      <c r="K312" s="87">
        <v>0</v>
      </c>
      <c r="L312" s="88"/>
      <c r="M312" s="89"/>
    </row>
    <row r="313" spans="1:13" s="102" customFormat="1" ht="30.75" customHeight="1">
      <c r="A313" s="270"/>
      <c r="B313" s="274"/>
      <c r="C313" s="274"/>
      <c r="D313" s="16">
        <v>2018</v>
      </c>
      <c r="E313" s="19">
        <f>F313+G313+J313+K313</f>
        <v>6230.9</v>
      </c>
      <c r="F313" s="19">
        <f t="shared" si="60"/>
        <v>6103.599999999999</v>
      </c>
      <c r="G313" s="19">
        <f>H313+I313</f>
        <v>127.3</v>
      </c>
      <c r="H313" s="19">
        <f t="shared" si="61"/>
        <v>0</v>
      </c>
      <c r="I313" s="19">
        <f t="shared" si="61"/>
        <v>127.3</v>
      </c>
      <c r="J313" s="19">
        <v>0</v>
      </c>
      <c r="K313" s="19">
        <v>0</v>
      </c>
      <c r="L313" s="11"/>
      <c r="M313" s="90"/>
    </row>
    <row r="314" spans="1:13" s="102" customFormat="1" ht="30.75" customHeight="1">
      <c r="A314" s="270"/>
      <c r="B314" s="274"/>
      <c r="C314" s="274"/>
      <c r="D314" s="16">
        <v>2019</v>
      </c>
      <c r="E314" s="19">
        <f aca="true" t="shared" si="62" ref="E314:H316">E296+E302+E308</f>
        <v>6149.900000000001</v>
      </c>
      <c r="F314" s="19">
        <f t="shared" si="60"/>
        <v>6017.2</v>
      </c>
      <c r="G314" s="19">
        <f t="shared" si="60"/>
        <v>132.7</v>
      </c>
      <c r="H314" s="19">
        <f t="shared" si="60"/>
        <v>0</v>
      </c>
      <c r="I314" s="19">
        <f>I296+I302+I308</f>
        <v>132.7</v>
      </c>
      <c r="J314" s="19">
        <f>J296+J302+J308</f>
        <v>0</v>
      </c>
      <c r="K314" s="19">
        <f>K296+K302+K308</f>
        <v>0</v>
      </c>
      <c r="L314" s="11"/>
      <c r="M314" s="90"/>
    </row>
    <row r="315" spans="1:13" s="102" customFormat="1" ht="30.75" customHeight="1">
      <c r="A315" s="270"/>
      <c r="B315" s="274"/>
      <c r="C315" s="274"/>
      <c r="D315" s="16">
        <v>2020</v>
      </c>
      <c r="E315" s="19">
        <f t="shared" si="62"/>
        <v>6149.900000000001</v>
      </c>
      <c r="F315" s="19">
        <f t="shared" si="62"/>
        <v>6017.2</v>
      </c>
      <c r="G315" s="19">
        <f t="shared" si="62"/>
        <v>132.7</v>
      </c>
      <c r="H315" s="19">
        <f t="shared" si="62"/>
        <v>0</v>
      </c>
      <c r="I315" s="19">
        <f t="shared" si="61"/>
        <v>132.7</v>
      </c>
      <c r="J315" s="19">
        <f t="shared" si="61"/>
        <v>0</v>
      </c>
      <c r="K315" s="19">
        <f t="shared" si="61"/>
        <v>0</v>
      </c>
      <c r="L315" s="11"/>
      <c r="M315" s="90"/>
    </row>
    <row r="316" spans="1:13" s="102" customFormat="1" ht="30.75" customHeight="1" thickBot="1">
      <c r="A316" s="271"/>
      <c r="B316" s="275"/>
      <c r="C316" s="275"/>
      <c r="D316" s="91">
        <v>2021</v>
      </c>
      <c r="E316" s="92">
        <f t="shared" si="62"/>
        <v>6149.900000000001</v>
      </c>
      <c r="F316" s="92">
        <f t="shared" si="62"/>
        <v>6017.2</v>
      </c>
      <c r="G316" s="92">
        <f t="shared" si="62"/>
        <v>132.7</v>
      </c>
      <c r="H316" s="92">
        <f t="shared" si="62"/>
        <v>0</v>
      </c>
      <c r="I316" s="92">
        <f t="shared" si="61"/>
        <v>132.7</v>
      </c>
      <c r="J316" s="92">
        <f t="shared" si="61"/>
        <v>0</v>
      </c>
      <c r="K316" s="92">
        <f t="shared" si="61"/>
        <v>0</v>
      </c>
      <c r="L316" s="85"/>
      <c r="M316" s="146"/>
    </row>
    <row r="317" spans="1:13" s="102" customFormat="1" ht="30.75" customHeight="1" thickBot="1">
      <c r="A317" s="272"/>
      <c r="B317" s="276"/>
      <c r="C317" s="276"/>
      <c r="D317" s="91">
        <v>2022</v>
      </c>
      <c r="E317" s="92">
        <f aca="true" t="shared" si="63" ref="E317:K317">E299+E305+E311</f>
        <v>6149.900000000001</v>
      </c>
      <c r="F317" s="92">
        <f t="shared" si="63"/>
        <v>6017.2</v>
      </c>
      <c r="G317" s="92">
        <f t="shared" si="63"/>
        <v>132.7</v>
      </c>
      <c r="H317" s="92">
        <f t="shared" si="63"/>
        <v>0</v>
      </c>
      <c r="I317" s="92">
        <f t="shared" si="63"/>
        <v>132.7</v>
      </c>
      <c r="J317" s="92">
        <f t="shared" si="63"/>
        <v>0</v>
      </c>
      <c r="K317" s="92">
        <f t="shared" si="63"/>
        <v>0</v>
      </c>
      <c r="L317" s="93"/>
      <c r="M317" s="94"/>
    </row>
    <row r="318" spans="1:13" s="102" customFormat="1" ht="30.75" customHeight="1" thickBot="1">
      <c r="A318" s="135"/>
      <c r="B318" s="314"/>
      <c r="C318" s="315"/>
      <c r="D318" s="118"/>
      <c r="E318" s="21"/>
      <c r="F318" s="21"/>
      <c r="G318" s="33"/>
      <c r="H318" s="21"/>
      <c r="I318" s="21"/>
      <c r="J318" s="21"/>
      <c r="K318" s="50"/>
      <c r="L318" s="11"/>
      <c r="M318" s="119"/>
    </row>
    <row r="319" spans="1:13" s="102" customFormat="1" ht="52.5" customHeight="1">
      <c r="A319" s="224"/>
      <c r="B319" s="209" t="s">
        <v>31</v>
      </c>
      <c r="C319" s="210"/>
      <c r="D319" s="108" t="s">
        <v>120</v>
      </c>
      <c r="E319" s="95">
        <f aca="true" t="shared" si="64" ref="E319:K319">SUM(E320:E325)</f>
        <v>1494118.2957400002</v>
      </c>
      <c r="F319" s="95">
        <f t="shared" si="64"/>
        <v>855360.4</v>
      </c>
      <c r="G319" s="95">
        <f t="shared" si="64"/>
        <v>10825.225999999999</v>
      </c>
      <c r="H319" s="95">
        <f t="shared" si="64"/>
        <v>0</v>
      </c>
      <c r="I319" s="95">
        <f t="shared" si="64"/>
        <v>10825.225999999999</v>
      </c>
      <c r="J319" s="95">
        <f>SUM(J320:J325)</f>
        <v>627375.7150500001</v>
      </c>
      <c r="K319" s="95">
        <f t="shared" si="64"/>
        <v>556.95469</v>
      </c>
      <c r="L319" s="120"/>
      <c r="M319" s="107"/>
    </row>
    <row r="320" spans="1:13" s="102" customFormat="1" ht="33" customHeight="1">
      <c r="A320" s="224"/>
      <c r="B320" s="211"/>
      <c r="C320" s="212"/>
      <c r="D320" s="16">
        <v>2017</v>
      </c>
      <c r="E320" s="19">
        <f>F320+G320+J320+K320</f>
        <v>259771.653</v>
      </c>
      <c r="F320" s="19">
        <f aca="true" t="shared" si="65" ref="F320:K320">F125+F208+F276+F285+F312</f>
        <v>130298.7</v>
      </c>
      <c r="G320" s="19">
        <f t="shared" si="65"/>
        <v>1029</v>
      </c>
      <c r="H320" s="19">
        <f t="shared" si="65"/>
        <v>0</v>
      </c>
      <c r="I320" s="19">
        <f t="shared" si="65"/>
        <v>1029</v>
      </c>
      <c r="J320" s="19">
        <f t="shared" si="65"/>
        <v>128443.953</v>
      </c>
      <c r="K320" s="19">
        <f t="shared" si="65"/>
        <v>0</v>
      </c>
      <c r="L320" s="62"/>
      <c r="M320" s="32"/>
    </row>
    <row r="321" spans="1:13" s="102" customFormat="1" ht="30.75" customHeight="1">
      <c r="A321" s="224"/>
      <c r="B321" s="211"/>
      <c r="C321" s="212"/>
      <c r="D321" s="16">
        <v>2018</v>
      </c>
      <c r="E321" s="19">
        <f>F321+G321+J321+K321</f>
        <v>256780.11129000003</v>
      </c>
      <c r="F321" s="19">
        <f aca="true" t="shared" si="66" ref="F321:H323">F126+F209+F277+F286+F313</f>
        <v>143448.1</v>
      </c>
      <c r="G321" s="19">
        <f t="shared" si="66"/>
        <v>1296.482</v>
      </c>
      <c r="H321" s="19">
        <f t="shared" si="66"/>
        <v>0</v>
      </c>
      <c r="I321" s="19">
        <f>I313+I286+I277+I209+I126</f>
        <v>1296.4820000000002</v>
      </c>
      <c r="J321" s="19">
        <f>J313+J286+J277+J209+J126</f>
        <v>112035.52929000002</v>
      </c>
      <c r="K321" s="19">
        <f>K126+K209+K277+K286+K313</f>
        <v>0</v>
      </c>
      <c r="L321" s="62"/>
      <c r="M321" s="32"/>
    </row>
    <row r="322" spans="1:13" s="102" customFormat="1" ht="30.75" customHeight="1">
      <c r="A322" s="224"/>
      <c r="B322" s="211"/>
      <c r="C322" s="212"/>
      <c r="D322" s="16">
        <v>2019</v>
      </c>
      <c r="E322" s="19">
        <f>E127+E210+E278+E287+E314</f>
        <v>267286.46645000007</v>
      </c>
      <c r="F322" s="158">
        <f t="shared" si="66"/>
        <v>150875.2</v>
      </c>
      <c r="G322" s="19">
        <f t="shared" si="66"/>
        <v>3239.4359999999997</v>
      </c>
      <c r="H322" s="19">
        <f t="shared" si="66"/>
        <v>0</v>
      </c>
      <c r="I322" s="19">
        <f aca="true" t="shared" si="67" ref="I322:J325">I127+I210+I278+I287+I314</f>
        <v>3239.4359999999997</v>
      </c>
      <c r="J322" s="19">
        <f t="shared" si="67"/>
        <v>112614.87576000002</v>
      </c>
      <c r="K322" s="19">
        <f>K127+K210+K278+K287+K314</f>
        <v>556.95469</v>
      </c>
      <c r="L322" s="62"/>
      <c r="M322" s="32"/>
    </row>
    <row r="323" spans="1:13" s="102" customFormat="1" ht="30.75" customHeight="1">
      <c r="A323" s="224"/>
      <c r="B323" s="211"/>
      <c r="C323" s="212"/>
      <c r="D323" s="16">
        <v>2020</v>
      </c>
      <c r="E323" s="19">
        <f>E128+E211+E279+E288+E315</f>
        <v>240650.755</v>
      </c>
      <c r="F323" s="19">
        <f t="shared" si="66"/>
        <v>143578.6</v>
      </c>
      <c r="G323" s="19">
        <f t="shared" si="66"/>
        <v>1753.436</v>
      </c>
      <c r="H323" s="19">
        <f t="shared" si="66"/>
        <v>0</v>
      </c>
      <c r="I323" s="19">
        <f t="shared" si="67"/>
        <v>1753.436</v>
      </c>
      <c r="J323" s="19">
        <f t="shared" si="67"/>
        <v>95318.719</v>
      </c>
      <c r="K323" s="19">
        <f>K128+K211+K279+K288+K315</f>
        <v>0</v>
      </c>
      <c r="L323" s="62"/>
      <c r="M323" s="32"/>
    </row>
    <row r="324" spans="1:13" s="102" customFormat="1" ht="30.75" customHeight="1">
      <c r="A324" s="224"/>
      <c r="B324" s="211"/>
      <c r="C324" s="212"/>
      <c r="D324" s="16">
        <v>2021</v>
      </c>
      <c r="E324" s="19">
        <f>F324+G324+J324+K324</f>
        <v>234814.65500000003</v>
      </c>
      <c r="F324" s="19">
        <f>F129+F212+F280+F289+F316</f>
        <v>143579.90000000002</v>
      </c>
      <c r="G324" s="19">
        <f>H324+I324</f>
        <v>1753.436</v>
      </c>
      <c r="H324" s="19">
        <f>H129+H212+H280+H289+H316</f>
        <v>0</v>
      </c>
      <c r="I324" s="19">
        <f t="shared" si="67"/>
        <v>1753.436</v>
      </c>
      <c r="J324" s="19">
        <f t="shared" si="67"/>
        <v>89481.31900000002</v>
      </c>
      <c r="K324" s="19">
        <f>K129+K212+K280+K289+K316</f>
        <v>0</v>
      </c>
      <c r="L324" s="62"/>
      <c r="M324" s="32"/>
    </row>
    <row r="325" spans="1:13" s="102" customFormat="1" ht="27" customHeight="1">
      <c r="A325" s="224"/>
      <c r="B325" s="213"/>
      <c r="C325" s="214"/>
      <c r="D325" s="16">
        <v>2022</v>
      </c>
      <c r="E325" s="19">
        <f>F325+G325+J325+K325</f>
        <v>234814.65500000003</v>
      </c>
      <c r="F325" s="19">
        <f>F130+F213+F281+F290+F317</f>
        <v>143579.90000000002</v>
      </c>
      <c r="G325" s="19">
        <f>H325+I325</f>
        <v>1753.436</v>
      </c>
      <c r="H325" s="19">
        <f>H130+H213+H281+H290+H317</f>
        <v>0</v>
      </c>
      <c r="I325" s="19">
        <f t="shared" si="67"/>
        <v>1753.436</v>
      </c>
      <c r="J325" s="19">
        <f t="shared" si="67"/>
        <v>89481.31900000002</v>
      </c>
      <c r="K325" s="19">
        <f>K130+K213+K281+K290+K317</f>
        <v>0</v>
      </c>
      <c r="L325" s="62"/>
      <c r="M325" s="32"/>
    </row>
    <row r="326" spans="2:11" ht="25.5" customHeight="1" hidden="1">
      <c r="B326" s="287"/>
      <c r="C326" s="288"/>
      <c r="D326" s="2"/>
      <c r="E326" s="69"/>
      <c r="F326" s="3"/>
      <c r="G326" s="3"/>
      <c r="H326" s="4"/>
      <c r="I326" s="1"/>
      <c r="J326" s="103"/>
      <c r="K326" s="4"/>
    </row>
    <row r="327" spans="2:11" ht="25.5" customHeight="1" hidden="1">
      <c r="B327" s="289"/>
      <c r="C327" s="290"/>
      <c r="D327" s="2"/>
      <c r="E327" s="69"/>
      <c r="F327" s="5"/>
      <c r="G327" s="5"/>
      <c r="H327" s="1"/>
      <c r="I327" s="6"/>
      <c r="J327" s="104" t="s">
        <v>17</v>
      </c>
      <c r="K327" s="1"/>
    </row>
    <row r="328" spans="2:11" ht="15.75" customHeight="1" hidden="1">
      <c r="B328" s="289"/>
      <c r="C328" s="290"/>
      <c r="D328" s="2"/>
      <c r="E328" s="69"/>
      <c r="F328" s="5"/>
      <c r="G328" s="5"/>
      <c r="H328" s="1"/>
      <c r="I328" s="1"/>
      <c r="J328" s="104"/>
      <c r="K328" s="1"/>
    </row>
    <row r="329" spans="2:11" ht="24.75" customHeight="1" hidden="1">
      <c r="B329" s="289"/>
      <c r="C329" s="290"/>
      <c r="D329" s="2"/>
      <c r="E329" s="69"/>
      <c r="F329" s="5"/>
      <c r="G329" s="5"/>
      <c r="H329" s="1"/>
      <c r="I329" s="7"/>
      <c r="J329" s="104" t="s">
        <v>18</v>
      </c>
      <c r="K329" s="1"/>
    </row>
    <row r="330" spans="2:11" ht="13.5" customHeight="1" hidden="1">
      <c r="B330" s="291"/>
      <c r="C330" s="292"/>
      <c r="D330" s="2"/>
      <c r="E330" s="69"/>
      <c r="F330" s="5"/>
      <c r="G330" s="5"/>
      <c r="H330" s="1"/>
      <c r="I330" s="1"/>
      <c r="J330" s="104"/>
      <c r="K330" s="1"/>
    </row>
    <row r="331" spans="4:11" ht="27.75" customHeight="1" hidden="1">
      <c r="D331" s="2"/>
      <c r="E331" s="69"/>
      <c r="F331" s="5"/>
      <c r="G331" s="5"/>
      <c r="H331" s="1"/>
      <c r="I331" s="1"/>
      <c r="J331" s="104" t="s">
        <v>19</v>
      </c>
      <c r="K331" s="1"/>
    </row>
    <row r="332" spans="2:11" ht="18.75" customHeight="1" hidden="1">
      <c r="B332" s="70"/>
      <c r="C332" s="71"/>
      <c r="D332" s="2"/>
      <c r="E332" s="69"/>
      <c r="F332" s="5"/>
      <c r="G332" s="5"/>
      <c r="H332" s="1"/>
      <c r="I332" s="1"/>
      <c r="J332" s="104"/>
      <c r="K332" s="1"/>
    </row>
    <row r="333" spans="2:11" ht="18.75" customHeight="1" hidden="1">
      <c r="B333" s="1"/>
      <c r="C333" s="2"/>
      <c r="D333" s="2"/>
      <c r="E333" s="69"/>
      <c r="F333" s="5"/>
      <c r="G333" s="5"/>
      <c r="H333" s="1"/>
      <c r="I333" s="1"/>
      <c r="J333" s="104"/>
      <c r="K333" s="1"/>
    </row>
    <row r="334" spans="2:11" ht="27" customHeight="1" hidden="1">
      <c r="B334" s="1"/>
      <c r="C334" s="2"/>
      <c r="D334" s="2"/>
      <c r="E334" s="69"/>
      <c r="F334" s="5"/>
      <c r="G334" s="5"/>
      <c r="H334" s="1"/>
      <c r="I334" s="1"/>
      <c r="J334" s="104" t="s">
        <v>20</v>
      </c>
      <c r="K334" s="1"/>
    </row>
    <row r="335" spans="2:8" ht="22.5" hidden="1">
      <c r="B335" s="1"/>
      <c r="C335" s="2"/>
      <c r="D335" s="2"/>
      <c r="E335" s="69"/>
      <c r="F335" s="72"/>
      <c r="G335" s="72"/>
      <c r="H335" s="70"/>
    </row>
    <row r="336" spans="2:5" ht="18" customHeight="1" hidden="1">
      <c r="B336" s="1"/>
      <c r="C336" s="2"/>
      <c r="D336" s="8"/>
      <c r="E336" s="69"/>
    </row>
    <row r="337" spans="2:5" ht="22.5" hidden="1">
      <c r="B337" s="1"/>
      <c r="C337" s="2"/>
      <c r="E337" s="69"/>
    </row>
    <row r="338" spans="2:9" ht="21" customHeight="1">
      <c r="B338" s="1"/>
      <c r="C338" s="2"/>
      <c r="E338" s="68"/>
      <c r="F338" s="73"/>
      <c r="G338" s="73"/>
      <c r="I338" s="74"/>
    </row>
    <row r="339" spans="2:9" ht="21" customHeight="1">
      <c r="B339" s="1"/>
      <c r="C339" s="2"/>
      <c r="D339" s="71"/>
      <c r="E339" s="68"/>
      <c r="F339" s="75"/>
      <c r="G339" s="75"/>
      <c r="I339" s="67"/>
    </row>
    <row r="340" spans="2:7" ht="21" customHeight="1">
      <c r="B340" s="1"/>
      <c r="C340" s="2"/>
      <c r="D340" s="76"/>
      <c r="E340" s="71"/>
      <c r="F340" s="77"/>
      <c r="G340" s="77"/>
    </row>
    <row r="341" spans="2:9" ht="21" customHeight="1">
      <c r="B341" s="1"/>
      <c r="C341" s="8"/>
      <c r="D341" s="76"/>
      <c r="E341" s="68"/>
      <c r="F341" s="75"/>
      <c r="G341" s="105"/>
      <c r="H341" s="18"/>
      <c r="I341" s="106"/>
    </row>
    <row r="342" spans="2:3" ht="18.75" customHeight="1">
      <c r="B342" s="1"/>
      <c r="C342" s="8"/>
    </row>
    <row r="343" ht="22.5" customHeight="1">
      <c r="D343" s="78"/>
    </row>
    <row r="344" ht="18">
      <c r="B344" s="70"/>
    </row>
  </sheetData>
  <sheetProtection/>
  <mergeCells count="178">
    <mergeCell ref="B318:C318"/>
    <mergeCell ref="K1:M1"/>
    <mergeCell ref="B28:C28"/>
    <mergeCell ref="B205:C205"/>
    <mergeCell ref="B206:C206"/>
    <mergeCell ref="E108:E114"/>
    <mergeCell ref="D108:D114"/>
    <mergeCell ref="M285:M290"/>
    <mergeCell ref="B285:C290"/>
    <mergeCell ref="M306:M311"/>
    <mergeCell ref="A291:M291"/>
    <mergeCell ref="A292:M292"/>
    <mergeCell ref="A293:M293"/>
    <mergeCell ref="D228:D235"/>
    <mergeCell ref="D268:D275"/>
    <mergeCell ref="B207:C207"/>
    <mergeCell ref="D252:D259"/>
    <mergeCell ref="B228:C275"/>
    <mergeCell ref="B306:C311"/>
    <mergeCell ref="A300:A305"/>
    <mergeCell ref="A306:A311"/>
    <mergeCell ref="B3:L3"/>
    <mergeCell ref="D5:D9"/>
    <mergeCell ref="E5:E9"/>
    <mergeCell ref="L5:L9"/>
    <mergeCell ref="A217:A226"/>
    <mergeCell ref="B167:B170"/>
    <mergeCell ref="B122:C122"/>
    <mergeCell ref="F6:F9"/>
    <mergeCell ref="H49:H50"/>
    <mergeCell ref="B326:C330"/>
    <mergeCell ref="E93:E99"/>
    <mergeCell ref="B115:C120"/>
    <mergeCell ref="B121:C121"/>
    <mergeCell ref="A284:M284"/>
    <mergeCell ref="B204:C204"/>
    <mergeCell ref="A283:L283"/>
    <mergeCell ref="A282:M282"/>
    <mergeCell ref="B16:C21"/>
    <mergeCell ref="M199:M200"/>
    <mergeCell ref="B217:C226"/>
    <mergeCell ref="D236:D241"/>
    <mergeCell ref="D171:D172"/>
    <mergeCell ref="M30:M35"/>
    <mergeCell ref="L138:L143"/>
    <mergeCell ref="L175:L176"/>
    <mergeCell ref="A133:M133"/>
    <mergeCell ref="E77:E84"/>
    <mergeCell ref="D16:D17"/>
    <mergeCell ref="M16:M21"/>
    <mergeCell ref="E37:E38"/>
    <mergeCell ref="F37:F38"/>
    <mergeCell ref="I37:I38"/>
    <mergeCell ref="K37:K38"/>
    <mergeCell ref="G37:G38"/>
    <mergeCell ref="I16:I17"/>
    <mergeCell ref="M36:M39"/>
    <mergeCell ref="H37:H38"/>
    <mergeCell ref="A312:A317"/>
    <mergeCell ref="A178:A191"/>
    <mergeCell ref="B312:C317"/>
    <mergeCell ref="A171:A172"/>
    <mergeCell ref="A173:A174"/>
    <mergeCell ref="A200:A202"/>
    <mergeCell ref="B294:C299"/>
    <mergeCell ref="B300:C305"/>
    <mergeCell ref="A192:A195"/>
    <mergeCell ref="A285:A290"/>
    <mergeCell ref="A134:M134"/>
    <mergeCell ref="B178:B191"/>
    <mergeCell ref="B135:B165"/>
    <mergeCell ref="M196:M197"/>
    <mergeCell ref="A319:A325"/>
    <mergeCell ref="A294:A299"/>
    <mergeCell ref="B175:B177"/>
    <mergeCell ref="A175:A177"/>
    <mergeCell ref="A208:A213"/>
    <mergeCell ref="M135:M177"/>
    <mergeCell ref="M186:M191"/>
    <mergeCell ref="M300:M305"/>
    <mergeCell ref="M294:M299"/>
    <mergeCell ref="A276:A281"/>
    <mergeCell ref="A228:A275"/>
    <mergeCell ref="A216:K216"/>
    <mergeCell ref="A196:A197"/>
    <mergeCell ref="M217:M275"/>
    <mergeCell ref="B192:B195"/>
    <mergeCell ref="B124:C124"/>
    <mergeCell ref="B125:C130"/>
    <mergeCell ref="D242:D251"/>
    <mergeCell ref="G16:G17"/>
    <mergeCell ref="A30:A35"/>
    <mergeCell ref="B30:C35"/>
    <mergeCell ref="B173:B174"/>
    <mergeCell ref="A132:M132"/>
    <mergeCell ref="M205:M206"/>
    <mergeCell ref="A36:A42"/>
    <mergeCell ref="F5:J5"/>
    <mergeCell ref="B276:C281"/>
    <mergeCell ref="A214:M214"/>
    <mergeCell ref="M125:M130"/>
    <mergeCell ref="M5:M9"/>
    <mergeCell ref="K5:K9"/>
    <mergeCell ref="D175:D177"/>
    <mergeCell ref="B208:C213"/>
    <mergeCell ref="A13:M13"/>
    <mergeCell ref="A14:M14"/>
    <mergeCell ref="L16:L17"/>
    <mergeCell ref="J16:J17"/>
    <mergeCell ref="H16:H17"/>
    <mergeCell ref="B29:C29"/>
    <mergeCell ref="K16:K17"/>
    <mergeCell ref="E16:E17"/>
    <mergeCell ref="F16:F17"/>
    <mergeCell ref="M22:M27"/>
    <mergeCell ref="A16:A21"/>
    <mergeCell ref="B5:C9"/>
    <mergeCell ref="B10:C10"/>
    <mergeCell ref="B22:C27"/>
    <mergeCell ref="A22:A27"/>
    <mergeCell ref="G8:G9"/>
    <mergeCell ref="G7:I7"/>
    <mergeCell ref="G6:J6"/>
    <mergeCell ref="J7:J9"/>
    <mergeCell ref="H8:I8"/>
    <mergeCell ref="A5:A9"/>
    <mergeCell ref="L37:L38"/>
    <mergeCell ref="J37:J38"/>
    <mergeCell ref="B36:C42"/>
    <mergeCell ref="D173:D174"/>
    <mergeCell ref="B85:C92"/>
    <mergeCell ref="A43:A48"/>
    <mergeCell ref="A49:A55"/>
    <mergeCell ref="A56:A61"/>
    <mergeCell ref="D49:D50"/>
    <mergeCell ref="B93:C114"/>
    <mergeCell ref="B49:C55"/>
    <mergeCell ref="D69:D76"/>
    <mergeCell ref="B171:B172"/>
    <mergeCell ref="M43:M48"/>
    <mergeCell ref="L49:L50"/>
    <mergeCell ref="E62:E68"/>
    <mergeCell ref="M49:M55"/>
    <mergeCell ref="E49:E50"/>
    <mergeCell ref="M56:M61"/>
    <mergeCell ref="M62:M114"/>
    <mergeCell ref="E69:E76"/>
    <mergeCell ref="E85:E92"/>
    <mergeCell ref="A135:A170"/>
    <mergeCell ref="B319:C325"/>
    <mergeCell ref="B43:C48"/>
    <mergeCell ref="B62:C76"/>
    <mergeCell ref="B77:C84"/>
    <mergeCell ref="D77:D84"/>
    <mergeCell ref="A115:A120"/>
    <mergeCell ref="A125:A130"/>
    <mergeCell ref="D85:D92"/>
    <mergeCell ref="K49:K50"/>
    <mergeCell ref="G49:G50"/>
    <mergeCell ref="A62:A114"/>
    <mergeCell ref="D93:D99"/>
    <mergeCell ref="A215:M215"/>
    <mergeCell ref="B123:C123"/>
    <mergeCell ref="F49:F50"/>
    <mergeCell ref="J49:J50"/>
    <mergeCell ref="I49:I50"/>
    <mergeCell ref="K2:M2"/>
    <mergeCell ref="M115:M120"/>
    <mergeCell ref="B56:C61"/>
    <mergeCell ref="A11:M12"/>
    <mergeCell ref="A15:M15"/>
    <mergeCell ref="A131:M131"/>
    <mergeCell ref="D37:D38"/>
    <mergeCell ref="D62:D68"/>
    <mergeCell ref="D100:D107"/>
    <mergeCell ref="E100:E107"/>
  </mergeCells>
  <printOptions/>
  <pageMargins left="0.2755905511811024" right="0.2755905511811024" top="0.7480314960629921" bottom="0.15748031496062992" header="0.15748031496062992" footer="0.15748031496062992"/>
  <pageSetup horizontalDpi="600" verticalDpi="600" orientation="landscape" paperSize="9" scale="32" r:id="rId1"/>
  <rowBreaks count="7" manualBreakCount="7">
    <brk id="48" max="12" man="1"/>
    <brk id="99" max="12" man="1"/>
    <brk id="133" max="12" man="1"/>
    <brk id="185" max="12" man="1"/>
    <brk id="213" max="12" man="1"/>
    <brk id="251" max="12" man="1"/>
    <brk id="29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2019-09-26T14:10:43Z</cp:lastPrinted>
  <dcterms:created xsi:type="dcterms:W3CDTF">2010-09-22T11:49:59Z</dcterms:created>
  <dcterms:modified xsi:type="dcterms:W3CDTF">2019-10-07T09:21:48Z</dcterms:modified>
  <cp:category/>
  <cp:version/>
  <cp:contentType/>
  <cp:contentStatus/>
</cp:coreProperties>
</file>