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есурсное обеспечение" sheetId="1" r:id="rId1"/>
    <sheet name="под. культура" sheetId="2" r:id="rId2"/>
    <sheet name="подпр Физ и спорт" sheetId="3" state="hidden" r:id="rId3"/>
    <sheet name="подпр Прав культ" sheetId="4" state="hidden" r:id="rId4"/>
  </sheets>
  <definedNames/>
  <calcPr fullCalcOnLoad="1"/>
</workbook>
</file>

<file path=xl/sharedStrings.xml><?xml version="1.0" encoding="utf-8"?>
<sst xmlns="http://schemas.openxmlformats.org/spreadsheetml/2006/main" count="351" uniqueCount="234">
  <si>
    <t xml:space="preserve">Приложение № 1 </t>
  </si>
  <si>
    <t xml:space="preserve">к постановлению администрации </t>
  </si>
  <si>
    <t>ЗАТО г. Радужный Владимирской области</t>
  </si>
  <si>
    <t>от " 20 " августа 2018г. № 1165</t>
  </si>
  <si>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</si>
  <si>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</si>
  <si>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</si>
  <si>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</si>
  <si>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 xml:space="preserve">Объем финанси-рования </t>
  </si>
  <si>
    <t>В том числе:</t>
  </si>
  <si>
    <t>Вне-бюджетные средства</t>
  </si>
  <si>
    <t>Исполнители, соисполнители, ответственные за реализацию программы</t>
  </si>
  <si>
    <t>(тыс. руб.)</t>
  </si>
  <si>
    <t>Субвен-ции</t>
  </si>
  <si>
    <t>Собственные доходы</t>
  </si>
  <si>
    <t>Субсии, иные межбюджетные трансферты</t>
  </si>
  <si>
    <t xml:space="preserve">Другие собственные доходы </t>
  </si>
  <si>
    <t>Всего</t>
  </si>
  <si>
    <t>в том числе</t>
  </si>
  <si>
    <t>из федерального бюджета</t>
  </si>
  <si>
    <t>из областного бюджета</t>
  </si>
  <si>
    <t>1.</t>
  </si>
  <si>
    <t>Муниципальная Программа «Культура и спорт ЗАТО г.Радужный Владимирской области»</t>
  </si>
  <si>
    <t>МКУ «Комитет по культуре и спорту» ЗАТО г.Радужный Владимирской области</t>
  </si>
  <si>
    <t>ИТОГО по Программе</t>
  </si>
  <si>
    <t>2017-2020 годы</t>
  </si>
  <si>
    <t>1.1.</t>
  </si>
  <si>
    <t>Муниципальная подпрограмма «Культура ЗАТО г.Радужный Владимирской области»</t>
  </si>
  <si>
    <t>Итого по Подпрограмме</t>
  </si>
  <si>
    <t>1.2.</t>
  </si>
  <si>
    <t>Муниципальная подпрограмма «Развитие физической культуры и спорта в ЗАТО г.Радужный»</t>
  </si>
  <si>
    <t>Итого по подпрограмме</t>
  </si>
  <si>
    <t>1.3.</t>
  </si>
  <si>
    <t>Муниципальная подпрограмма «Повышение правовой культуры населения ЗАТО г. Радужный Владимирской области»</t>
  </si>
  <si>
    <t xml:space="preserve">Приложение № 2 </t>
  </si>
  <si>
    <t>Перечень мероприятий муниципальной подпрограммы "Культура ЗАТО г.Радужный Владимирской области"</t>
  </si>
  <si>
    <t>№        п/п</t>
  </si>
  <si>
    <t>Наименование мероприятий</t>
  </si>
  <si>
    <t>Объем финансирования (тыс.руб.)</t>
  </si>
  <si>
    <t>В том числе</t>
  </si>
  <si>
    <t>Внебюджетные средства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</si>
  <si>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</si>
  <si>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</si>
  <si>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Субвенции</t>
  </si>
  <si>
    <t>Субсидии, иные межбюджетные трансферты</t>
  </si>
  <si>
    <t>Другие собственные доходы</t>
  </si>
  <si>
    <t xml:space="preserve">из облостного бюджета </t>
  </si>
  <si>
    <t>I. Организация досуга населения</t>
  </si>
  <si>
    <t>Цели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</si>
  <si>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</si>
  <si>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Задачи</t>
  </si>
  <si>
    <t>Организация библиотечного обслуживания.Поддержка молодых дарований, самодеятельного творчества.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</si>
  <si>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</si>
  <si>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</si>
  <si>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</si>
  <si>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 xml:space="preserve"> МБУК «Общедоступная библиотека ЗАТО г.Радужный</t>
  </si>
  <si>
    <t>Внедрение информационных технологий в процесс библиотечного обслуживания: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</si>
  <si>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</si>
  <si>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</si>
  <si>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</si>
  <si>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</si>
  <si>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</si>
  <si>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</si>
  <si>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1.4.</t>
  </si>
  <si>
    <t>Участие юных дарований в областных, региональных и международных конкурсах, выставках, фестивалях</t>
  </si>
  <si>
    <t>МКУ «Комитет по культуре и спорту»</t>
  </si>
  <si>
    <t>Повышение уровня исполнительского мастерства</t>
  </si>
  <si>
    <t>1.5.</t>
  </si>
  <si>
    <t>Организация и проведение традиционных городских мероприятий</t>
  </si>
  <si>
    <t>МБУК К/Ц Досуг</t>
  </si>
  <si>
    <t>МБУК ЦДМ</t>
  </si>
  <si>
    <t>Организация досуга населения, профилактика правонарушений</t>
  </si>
  <si>
    <t>1.6.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</si>
  <si>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</si>
  <si>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МБУК "ПКиО"</t>
  </si>
  <si>
    <t>Патриотическое воспитание, организация досуга населения</t>
  </si>
  <si>
    <t xml:space="preserve">МКУ «Комитет по культуре и спорту»   </t>
  </si>
  <si>
    <t>МБУ ДО "ДШИ"</t>
  </si>
  <si>
    <t xml:space="preserve">МКУ «Комитет по культуре и спорту»                                       </t>
  </si>
  <si>
    <t xml:space="preserve"> </t>
  </si>
  <si>
    <t>1.7.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</si>
  <si>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</si>
  <si>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</si>
  <si>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1.8.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</si>
  <si>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</si>
  <si>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</si>
  <si>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1.9.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</si>
  <si>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</si>
  <si>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</si>
  <si>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1.10.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</si>
  <si>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</si>
  <si>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</si>
  <si>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1.11</t>
  </si>
  <si>
    <t>Проведение мероприятий по празднованию Дня города</t>
  </si>
  <si>
    <t>МБУК ОБ</t>
  </si>
  <si>
    <t>Патриотическое воспитание, подготовка и празднование юбилея города</t>
  </si>
  <si>
    <t>МБУК  КЦ Досуг</t>
  </si>
  <si>
    <t>1.12</t>
  </si>
  <si>
    <t>Уборка снега механизированным способом в Парке, экспертная проверка сметной документации</t>
  </si>
  <si>
    <t>МБУК ПКиО</t>
  </si>
  <si>
    <t>1.13</t>
  </si>
  <si>
    <t>Пробретение подаков в честь юбилеев МБУК К/Ц "Досуг" (40 лет) и МБУК "ПКиО"(35 лет)</t>
  </si>
  <si>
    <t>1.14</t>
  </si>
  <si>
    <t>На приобретение краски дорожной АК-511(белая) 30кг.</t>
  </si>
  <si>
    <t>Итого по мероприятию</t>
  </si>
  <si>
    <t>II. Укрепление материальной базы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</si>
  <si>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</si>
  <si>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</si>
  <si>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Ремонты учреждений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</si>
  <si>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</si>
  <si>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2.1.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</si>
  <si>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</si>
  <si>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МКУ  ГКМХ</t>
  </si>
  <si>
    <t>2.2.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</si>
  <si>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</si>
  <si>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МБУК МСДЦ</t>
  </si>
  <si>
    <t>2.3.</t>
  </si>
  <si>
    <t>Благоустройство территории вокруг "Кристалла", около стеллы ( с дроблением порубочных сотатков).</t>
  </si>
  <si>
    <t>МКУ ГКМХ</t>
  </si>
  <si>
    <t>2.4.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</si>
  <si>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</si>
  <si>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2.5.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</si>
  <si>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</si>
  <si>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2.6.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</si>
  <si>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</si>
  <si>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</si>
  <si>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>2.7.</t>
  </si>
  <si>
    <t>Установка экрана уличного светодиодного 3840х8000мм.; установка видионаблюдения на площади у МБУК " МСДЦ" 1 квартал.</t>
  </si>
  <si>
    <t>2.8.</t>
  </si>
  <si>
    <t>Благоустройство территории парка  (освещение парковой зоны 3 этап)</t>
  </si>
  <si>
    <t>2.9.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</si>
  <si>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</si>
  <si>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2.10.</t>
  </si>
  <si>
    <t>Оборудование места массового пребывания людей ограждением 2 класса защиты(установка ограждений  в учреждении МБУ ДО "ДШИ")</t>
  </si>
  <si>
    <t>2.11.</t>
  </si>
  <si>
    <t>Оснащение зданий по требованиям пожарной безопастности.</t>
  </si>
  <si>
    <t>МБУДО ДШИ</t>
  </si>
  <si>
    <t>МБОУДОД ДЮСШ</t>
  </si>
  <si>
    <t>ГКМХ</t>
  </si>
  <si>
    <t>2.12.</t>
  </si>
  <si>
    <t>Установка кондиционеров в киноаппаратной и зрительном зале.</t>
  </si>
  <si>
    <t>2.13.</t>
  </si>
  <si>
    <t>Ремонт в учреждение МБУК "ЦДМ" ( в киноаппаратной и туалетов)</t>
  </si>
  <si>
    <t>III. Выполнение управленческих функций, обеспечение стабильной работы подведомственных учреждений:</t>
  </si>
  <si>
    <t>3.1.</t>
  </si>
  <si>
    <t>МКУ «Комитет по культуре и спорту» ЗАТО г.Радужный:</t>
  </si>
  <si>
    <t>МКУ ККиС</t>
  </si>
  <si>
    <t>IY. Выполнение муниципальных заданий: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</si>
  <si>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</si>
  <si>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</si>
  <si>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4.1.</t>
  </si>
  <si>
    <t>4.2.</t>
  </si>
  <si>
    <t>4.3.</t>
  </si>
  <si>
    <t>4.4.</t>
  </si>
  <si>
    <t>4.5.</t>
  </si>
  <si>
    <t>4.6.</t>
  </si>
  <si>
    <t>МБУК  «Общедоступная библиотека»</t>
  </si>
  <si>
    <t>4.7.</t>
  </si>
  <si>
    <t>4.8.</t>
  </si>
  <si>
    <t>Выпонение мунципалных заданиий на 1 квартал 2018 года</t>
  </si>
  <si>
    <t>V. Социальная поддержка населения</t>
  </si>
  <si>
    <t>Осуществление системы мер социальной поддержки работников культуры.</t>
  </si>
  <si>
    <t>5.1.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</si>
  <si>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</si>
  <si>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ВСЕГО ПО ПОДПРОГРАММЕ</t>
  </si>
  <si>
    <t>2017-2020</t>
  </si>
  <si>
    <t xml:space="preserve">Перечень мероприятий муниципальной подпрограммы </t>
  </si>
  <si>
    <t>Объем финансирования (тыс. руб.)</t>
  </si>
  <si>
    <t>исполнители, ответственные за реализацию подпрограммы</t>
  </si>
  <si>
    <t>Собственные  доходы:</t>
  </si>
  <si>
    <t xml:space="preserve">                           1. Массовый  спорт </t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</si>
  <si>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</si>
  <si>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</si>
  <si>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организация и проведение круглогодичной спартакиады школьников</t>
  </si>
  <si>
    <t>Увеличение количества занимающихся в спортивных секциях, укрепление здоровья учащихся</t>
  </si>
  <si>
    <t xml:space="preserve">МКУ «Комитет 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</si>
  <si>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</si>
  <si>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</si>
  <si>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</si>
  <si>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</si>
  <si>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4.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</si>
  <si>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</si>
  <si>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</si>
  <si>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5.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</si>
  <si>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</si>
  <si>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</si>
  <si>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</si>
  <si>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2017-2020г.г.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</si>
  <si>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</si>
  <si>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</si>
  <si>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Строительство межшкольного стадиона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</si>
  <si>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</si>
  <si>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итого по мероприятию №2</t>
  </si>
  <si>
    <t>ВСЕГО  ПО ПОДПРОГРАММЕ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</si>
  <si>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</si>
  <si>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Наименование мероприятия</t>
  </si>
  <si>
    <t>Объем финансирования (тыс.руб)</t>
  </si>
  <si>
    <t xml:space="preserve">В том числе: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</si>
  <si>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</si>
  <si>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</si>
  <si>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Субсидии, иные межбюджетные трансверты</t>
  </si>
  <si>
    <t xml:space="preserve">Всего </t>
  </si>
  <si>
    <t>Из федерального бюджете</t>
  </si>
  <si>
    <t>из  областного бюджета</t>
  </si>
  <si>
    <t>I. Организационно-методическое обеспечение</t>
  </si>
  <si>
    <r>
      <rPr>
        <u val="single"/>
        <sz val="12"/>
        <color indexed="8"/>
        <rFont val="Times New Roman"/>
        <family val="1"/>
      </rP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</si>
  <si>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</si>
  <si>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- управление образования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</si>
  <si>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</si>
  <si>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</si>
  <si>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2.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</si>
  <si>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</si>
  <si>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МБУК "Общедоступная библиотека"</t>
  </si>
  <si>
    <t>Развитие и модернизация центра правовой информации на базе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</si>
  <si>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</si>
  <si>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</si>
  <si>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</si>
  <si>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</si>
  <si>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</si>
  <si>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</si>
  <si>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</si>
  <si>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</si>
  <si>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</si>
  <si>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</si>
  <si>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</si>
  <si>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</si>
  <si>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</si>
  <si>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</si>
  <si>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</si>
  <si>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</si>
  <si>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</si>
  <si>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</si>
  <si>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</si>
  <si>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ИТОГО: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</si>
</sst>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0.00"/>
    <numFmt numFmtId="167" formatCode="0.00000"/>
    <numFmt numFmtId="168" formatCode="0.0000"/>
    <numFmt numFmtId="169" formatCode="0.000"/>
    <numFmt numFmtId="170" formatCode="0"/>
    <numFmt numFmtId="171" formatCode="DD/MMM"/>
    <numFmt numFmtId="172" formatCode="@"/>
    <numFmt numFmtId="173" formatCode="DD/MM/YYYY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9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 vertical="center"/>
    </xf>
    <xf numFmtId="164" fontId="0" fillId="0" borderId="0" xfId="0" applyAlignment="1">
      <alignment/>
    </xf>
    <xf numFmtId="164" fontId="7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70" fontId="4" fillId="0" borderId="2" xfId="0" applyNumberFormat="1" applyFont="1" applyBorder="1" applyAlignment="1">
      <alignment horizontal="center" vertical="top" wrapText="1"/>
    </xf>
    <xf numFmtId="164" fontId="8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71" fontId="4" fillId="0" borderId="2" xfId="0" applyNumberFormat="1" applyFont="1" applyBorder="1" applyAlignment="1">
      <alignment horizontal="center" vertical="top" wrapText="1"/>
    </xf>
    <xf numFmtId="170" fontId="0" fillId="0" borderId="2" xfId="0" applyNumberFormat="1" applyFont="1" applyBorder="1" applyAlignment="1">
      <alignment horizontal="center" vertical="top" wrapText="1"/>
    </xf>
    <xf numFmtId="166" fontId="0" fillId="0" borderId="2" xfId="0" applyNumberFormat="1" applyFont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70" fontId="4" fillId="0" borderId="2" xfId="0" applyNumberFormat="1" applyFont="1" applyBorder="1" applyAlignment="1">
      <alignment horizontal="center" wrapText="1"/>
    </xf>
    <xf numFmtId="164" fontId="9" fillId="0" borderId="2" xfId="0" applyFont="1" applyBorder="1" applyAlignment="1">
      <alignment vertical="top" wrapText="1"/>
    </xf>
    <xf numFmtId="164" fontId="4" fillId="0" borderId="2" xfId="0" applyFont="1" applyBorder="1" applyAlignment="1">
      <alignment horizontal="left" vertical="top" wrapText="1" indent="1"/>
    </xf>
    <xf numFmtId="170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 vertical="top" wrapText="1"/>
    </xf>
    <xf numFmtId="164" fontId="10" fillId="0" borderId="2" xfId="0" applyFont="1" applyBorder="1" applyAlignment="1">
      <alignment vertical="top" wrapText="1"/>
    </xf>
    <xf numFmtId="169" fontId="4" fillId="0" borderId="2" xfId="0" applyNumberFormat="1" applyFont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Border="1" applyAlignment="1">
      <alignment vertical="top" wrapText="1"/>
    </xf>
    <xf numFmtId="172" fontId="4" fillId="0" borderId="2" xfId="0" applyNumberFormat="1" applyFont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center"/>
    </xf>
    <xf numFmtId="172" fontId="4" fillId="0" borderId="2" xfId="0" applyNumberFormat="1" applyFont="1" applyFill="1" applyBorder="1" applyAlignment="1">
      <alignment vertical="top" wrapText="1"/>
    </xf>
    <xf numFmtId="164" fontId="4" fillId="0" borderId="2" xfId="0" applyFont="1" applyFill="1" applyBorder="1" applyAlignment="1">
      <alignment vertical="top" wrapText="1"/>
    </xf>
    <xf numFmtId="170" fontId="4" fillId="0" borderId="2" xfId="0" applyNumberFormat="1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9" fillId="0" borderId="2" xfId="0" applyFont="1" applyFill="1" applyBorder="1" applyAlignment="1">
      <alignment vertical="top" wrapText="1"/>
    </xf>
    <xf numFmtId="164" fontId="11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left" vertical="top" wrapText="1" indent="1"/>
    </xf>
    <xf numFmtId="164" fontId="4" fillId="0" borderId="2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8" fontId="8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vertical="top" wrapText="1"/>
    </xf>
    <xf numFmtId="167" fontId="4" fillId="0" borderId="2" xfId="0" applyNumberFormat="1" applyFont="1" applyFill="1" applyBorder="1" applyAlignment="1">
      <alignment vertical="top" wrapText="1"/>
    </xf>
    <xf numFmtId="170" fontId="4" fillId="0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top" wrapText="1"/>
    </xf>
    <xf numFmtId="167" fontId="9" fillId="0" borderId="2" xfId="0" applyNumberFormat="1" applyFont="1" applyFill="1" applyBorder="1" applyAlignment="1">
      <alignment vertical="top" wrapText="1"/>
    </xf>
    <xf numFmtId="167" fontId="4" fillId="0" borderId="2" xfId="0" applyNumberFormat="1" applyFont="1" applyFill="1" applyBorder="1" applyAlignment="1">
      <alignment horizontal="left" vertical="top" wrapText="1"/>
    </xf>
    <xf numFmtId="167" fontId="0" fillId="0" borderId="0" xfId="0" applyNumberFormat="1" applyAlignment="1">
      <alignment/>
    </xf>
    <xf numFmtId="167" fontId="8" fillId="0" borderId="2" xfId="0" applyNumberFormat="1" applyFont="1" applyFill="1" applyBorder="1" applyAlignment="1">
      <alignment horizontal="center" vertical="top" wrapText="1"/>
    </xf>
    <xf numFmtId="170" fontId="8" fillId="0" borderId="2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top" wrapText="1"/>
    </xf>
    <xf numFmtId="167" fontId="4" fillId="0" borderId="2" xfId="0" applyNumberFormat="1" applyFont="1" applyFill="1" applyBorder="1" applyAlignment="1">
      <alignment horizontal="left" vertical="top" wrapText="1" indent="1"/>
    </xf>
    <xf numFmtId="167" fontId="8" fillId="0" borderId="2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73" fontId="4" fillId="0" borderId="2" xfId="0" applyNumberFormat="1" applyFont="1" applyBorder="1" applyAlignment="1">
      <alignment vertical="top" wrapText="1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top" wrapText="1"/>
    </xf>
    <xf numFmtId="167" fontId="8" fillId="0" borderId="2" xfId="0" applyNumberFormat="1" applyFont="1" applyBorder="1" applyAlignment="1">
      <alignment horizontal="center" vertical="top" wrapText="1"/>
    </xf>
    <xf numFmtId="171" fontId="4" fillId="0" borderId="2" xfId="0" applyNumberFormat="1" applyFont="1" applyBorder="1" applyAlignment="1">
      <alignment vertical="top" wrapText="1"/>
    </xf>
    <xf numFmtId="164" fontId="8" fillId="0" borderId="2" xfId="0" applyFont="1" applyBorder="1" applyAlignment="1">
      <alignment vertical="top" wrapText="1"/>
    </xf>
    <xf numFmtId="164" fontId="9" fillId="0" borderId="2" xfId="0" applyFont="1" applyBorder="1" applyAlignment="1">
      <alignment horizontal="center" vertical="center"/>
    </xf>
    <xf numFmtId="167" fontId="9" fillId="0" borderId="2" xfId="0" applyNumberFormat="1" applyFont="1" applyFill="1" applyBorder="1" applyAlignment="1">
      <alignment wrapText="1"/>
    </xf>
    <xf numFmtId="164" fontId="9" fillId="0" borderId="2" xfId="0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/>
    </xf>
    <xf numFmtId="169" fontId="9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top" wrapText="1"/>
    </xf>
    <xf numFmtId="167" fontId="10" fillId="0" borderId="2" xfId="0" applyNumberFormat="1" applyFont="1" applyBorder="1" applyAlignment="1">
      <alignment vertical="top" wrapText="1"/>
    </xf>
    <xf numFmtId="164" fontId="10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vertical="top"/>
    </xf>
    <xf numFmtId="164" fontId="0" fillId="0" borderId="2" xfId="0" applyBorder="1" applyAlignment="1">
      <alignment wrapText="1"/>
    </xf>
    <xf numFmtId="164" fontId="0" fillId="0" borderId="2" xfId="0" applyBorder="1" applyAlignment="1">
      <alignment horizontal="center" wrapText="1"/>
    </xf>
    <xf numFmtId="164" fontId="9" fillId="0" borderId="2" xfId="0" applyFont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wrapText="1"/>
    </xf>
    <xf numFmtId="164" fontId="9" fillId="0" borderId="2" xfId="0" applyFont="1" applyBorder="1" applyAlignment="1">
      <alignment/>
    </xf>
    <xf numFmtId="166" fontId="9" fillId="0" borderId="2" xfId="0" applyNumberFormat="1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 horizontal="center" vertical="top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8" fillId="0" borderId="0" xfId="0" applyFont="1" applyFill="1" applyBorder="1" applyAlignment="1">
      <alignment horizontal="center" vertical="top" wrapText="1"/>
    </xf>
    <xf numFmtId="164" fontId="3" fillId="0" borderId="0" xfId="0" applyFont="1" applyAlignment="1">
      <alignment horizontal="center"/>
    </xf>
    <xf numFmtId="164" fontId="0" fillId="0" borderId="2" xfId="0" applyBorder="1" applyAlignment="1">
      <alignment vertical="top" wrapText="1"/>
    </xf>
    <xf numFmtId="164" fontId="4" fillId="0" borderId="3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4" fillId="0" borderId="4" xfId="0" applyFont="1" applyBorder="1" applyAlignment="1">
      <alignment vertical="center" wrapText="1"/>
    </xf>
    <xf numFmtId="164" fontId="4" fillId="0" borderId="5" xfId="0" applyFont="1" applyBorder="1" applyAlignment="1">
      <alignment vertical="center" wrapText="1"/>
    </xf>
    <xf numFmtId="164" fontId="12" fillId="0" borderId="2" xfId="0" applyFont="1" applyBorder="1" applyAlignment="1">
      <alignment horizontal="center" vertical="top" wrapText="1"/>
    </xf>
    <xf numFmtId="164" fontId="0" fillId="0" borderId="0" xfId="0" applyAlignment="1">
      <alignment horizontal="left"/>
    </xf>
    <xf numFmtId="169" fontId="4" fillId="0" borderId="2" xfId="0" applyNumberFormat="1" applyFont="1" applyBorder="1" applyAlignment="1">
      <alignment vertical="top" wrapText="1"/>
    </xf>
    <xf numFmtId="169" fontId="9" fillId="0" borderId="2" xfId="0" applyNumberFormat="1" applyFont="1" applyBorder="1" applyAlignment="1">
      <alignment horizontal="center" vertical="top" wrapText="1"/>
    </xf>
    <xf numFmtId="169" fontId="9" fillId="0" borderId="2" xfId="0" applyNumberFormat="1" applyFont="1" applyBorder="1" applyAlignment="1">
      <alignment vertical="top" wrapText="1"/>
    </xf>
    <xf numFmtId="169" fontId="4" fillId="0" borderId="2" xfId="0" applyNumberFormat="1" applyFont="1" applyBorder="1" applyAlignment="1">
      <alignment horizontal="center" wrapText="1"/>
    </xf>
    <xf numFmtId="169" fontId="4" fillId="0" borderId="2" xfId="0" applyNumberFormat="1" applyFont="1" applyBorder="1" applyAlignment="1">
      <alignment wrapText="1"/>
    </xf>
    <xf numFmtId="169" fontId="9" fillId="0" borderId="2" xfId="0" applyNumberFormat="1" applyFont="1" applyBorder="1" applyAlignment="1">
      <alignment wrapText="1"/>
    </xf>
    <xf numFmtId="164" fontId="13" fillId="0" borderId="2" xfId="0" applyFont="1" applyBorder="1" applyAlignment="1">
      <alignment horizontal="center" vertical="top" wrapText="1"/>
    </xf>
    <xf numFmtId="169" fontId="8" fillId="0" borderId="2" xfId="0" applyNumberFormat="1" applyFont="1" applyBorder="1" applyAlignment="1">
      <alignment horizontal="center" vertical="top" wrapText="1"/>
    </xf>
    <xf numFmtId="169" fontId="8" fillId="0" borderId="2" xfId="0" applyNumberFormat="1" applyFont="1" applyBorder="1" applyAlignment="1">
      <alignment vertical="top" wrapText="1"/>
    </xf>
    <xf numFmtId="164" fontId="8" fillId="0" borderId="2" xfId="0" applyFont="1" applyBorder="1" applyAlignment="1">
      <alignment horizontal="justify" vertical="top" wrapText="1"/>
    </xf>
    <xf numFmtId="169" fontId="13" fillId="0" borderId="2" xfId="0" applyNumberFormat="1" applyFont="1" applyBorder="1" applyAlignment="1">
      <alignment horizontal="center" vertical="top" wrapText="1"/>
    </xf>
    <xf numFmtId="169" fontId="13" fillId="0" borderId="2" xfId="0" applyNumberFormat="1" applyFont="1" applyBorder="1" applyAlignment="1">
      <alignment vertical="top" wrapText="1"/>
    </xf>
    <xf numFmtId="164" fontId="13" fillId="0" borderId="2" xfId="0" applyFont="1" applyBorder="1" applyAlignment="1">
      <alignment horizontal="justify" vertical="top" wrapText="1"/>
    </xf>
    <xf numFmtId="164" fontId="8" fillId="0" borderId="6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left" vertical="top" wrapText="1"/>
    </xf>
    <xf numFmtId="169" fontId="4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/>
    </xf>
    <xf numFmtId="164" fontId="4" fillId="0" borderId="7" xfId="0" applyFont="1" applyBorder="1" applyAlignment="1">
      <alignment horizontal="center" vertical="top" wrapText="1"/>
    </xf>
    <xf numFmtId="169" fontId="8" fillId="0" borderId="2" xfId="0" applyNumberFormat="1" applyFont="1" applyBorder="1" applyAlignment="1">
      <alignment horizontal="center" wrapText="1"/>
    </xf>
    <xf numFmtId="169" fontId="8" fillId="0" borderId="2" xfId="0" applyNumberFormat="1" applyFont="1" applyBorder="1" applyAlignment="1">
      <alignment wrapText="1"/>
    </xf>
    <xf numFmtId="164" fontId="4" fillId="0" borderId="7" xfId="0" applyFont="1" applyBorder="1" applyAlignment="1">
      <alignment vertical="top" wrapText="1"/>
    </xf>
    <xf numFmtId="164" fontId="14" fillId="0" borderId="2" xfId="0" applyFont="1" applyBorder="1" applyAlignment="1">
      <alignment horizontal="center" vertical="center"/>
    </xf>
    <xf numFmtId="169" fontId="14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 vertical="top"/>
    </xf>
    <xf numFmtId="164" fontId="6" fillId="0" borderId="8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top" wrapText="1"/>
    </xf>
    <xf numFmtId="164" fontId="15" fillId="0" borderId="2" xfId="0" applyFont="1" applyBorder="1" applyAlignment="1">
      <alignment vertical="top" wrapText="1"/>
    </xf>
    <xf numFmtId="169" fontId="5" fillId="0" borderId="2" xfId="0" applyNumberFormat="1" applyFont="1" applyBorder="1" applyAlignment="1">
      <alignment horizontal="center" vertical="top" wrapText="1"/>
    </xf>
    <xf numFmtId="169" fontId="5" fillId="0" borderId="2" xfId="0" applyNumberFormat="1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vertical="top" wrapText="1"/>
    </xf>
    <xf numFmtId="164" fontId="5" fillId="0" borderId="9" xfId="0" applyFont="1" applyBorder="1" applyAlignment="1">
      <alignment vertical="top" wrapText="1"/>
    </xf>
    <xf numFmtId="164" fontId="5" fillId="0" borderId="9" xfId="0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vertical="top" wrapText="1"/>
    </xf>
    <xf numFmtId="164" fontId="5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5" fillId="0" borderId="7" xfId="0" applyFont="1" applyBorder="1" applyAlignment="1">
      <alignment horizontal="center" vertical="top" wrapText="1"/>
    </xf>
    <xf numFmtId="164" fontId="5" fillId="0" borderId="2" xfId="0" applyFont="1" applyBorder="1" applyAlignment="1">
      <alignment vertical="top" wrapText="1"/>
    </xf>
    <xf numFmtId="164" fontId="5" fillId="0" borderId="10" xfId="0" applyFont="1" applyBorder="1" applyAlignment="1">
      <alignment horizontal="center" vertical="top" wrapText="1"/>
    </xf>
    <xf numFmtId="164" fontId="5" fillId="0" borderId="11" xfId="0" applyFont="1" applyBorder="1" applyAlignment="1">
      <alignment horizontal="center" vertical="top" wrapText="1"/>
    </xf>
    <xf numFmtId="164" fontId="5" fillId="0" borderId="1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 wrapText="1"/>
    </xf>
    <xf numFmtId="169" fontId="5" fillId="0" borderId="13" xfId="0" applyNumberFormat="1" applyFont="1" applyBorder="1" applyAlignment="1">
      <alignment horizontal="center" vertical="top" wrapText="1"/>
    </xf>
    <xf numFmtId="169" fontId="6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Normal="85" zoomScaleSheetLayoutView="100" workbookViewId="0" topLeftCell="A1">
      <selection activeCell="K5" sqref="K5"/>
    </sheetView>
  </sheetViews>
  <sheetFormatPr defaultColWidth="8.0039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5" max="5" width="9.00390625" style="0" customWidth="1"/>
    <col min="6" max="6" width="11.57421875" style="0" customWidth="1"/>
    <col min="7" max="7" width="11.8515625" style="0" customWidth="1"/>
    <col min="8" max="8" width="16.7109375" style="0" customWidth="1"/>
    <col min="9" max="9" width="12.8515625" style="0" customWidth="1"/>
    <col min="10" max="10" width="10.7109375" style="0" customWidth="1"/>
    <col min="11" max="11" width="30.8515625" style="0" customWidth="1"/>
    <col min="12" max="16384" width="9.00390625" style="0" customWidth="1"/>
  </cols>
  <sheetData>
    <row r="1" spans="3:11" ht="15.75"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3:11" ht="15.75"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3:11" ht="15.75">
      <c r="C3" s="1"/>
      <c r="D3" s="1"/>
      <c r="E3" s="1"/>
      <c r="F3" s="1"/>
      <c r="G3" s="1"/>
      <c r="H3" s="1"/>
      <c r="I3" s="1"/>
      <c r="J3" s="1"/>
      <c r="K3" s="2" t="s">
        <v>2</v>
      </c>
    </row>
    <row r="4" spans="3:11" ht="15.75">
      <c r="C4" s="3"/>
      <c r="D4" s="4"/>
      <c r="E4" s="3"/>
      <c r="F4" s="3"/>
      <c r="G4" s="3"/>
      <c r="H4" s="5"/>
      <c r="I4" s="3"/>
      <c r="J4" s="3"/>
      <c r="K4" s="2" t="s">
        <v>3</v>
      </c>
    </row>
    <row r="5" spans="1:11" ht="15.75">
      <c r="A5" s="3"/>
      <c r="B5" s="3"/>
      <c r="C5" s="3"/>
      <c r="D5" s="4"/>
      <c r="E5" s="3"/>
      <c r="F5" s="3"/>
      <c r="G5" s="3"/>
      <c r="H5" s="5"/>
      <c r="I5" s="3"/>
      <c r="J5" s="3"/>
      <c r="K5" s="1"/>
    </row>
    <row r="6" ht="18.75">
      <c r="B6" s="6" t="s">
        <v>4</v>
      </c>
    </row>
    <row r="7" spans="1:11" ht="26.25" customHeight="1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/>
      <c r="G7" s="8"/>
      <c r="H7" s="8"/>
      <c r="I7" s="8"/>
      <c r="J7" s="8" t="s">
        <v>10</v>
      </c>
      <c r="K7" s="8" t="s">
        <v>11</v>
      </c>
    </row>
    <row r="8" spans="1:11" ht="15.75" customHeight="1">
      <c r="A8" s="7"/>
      <c r="B8" s="8"/>
      <c r="C8" s="8"/>
      <c r="D8" s="8" t="s">
        <v>12</v>
      </c>
      <c r="E8" s="8" t="s">
        <v>13</v>
      </c>
      <c r="F8" s="8" t="s">
        <v>14</v>
      </c>
      <c r="G8" s="8"/>
      <c r="H8" s="8"/>
      <c r="I8" s="8"/>
      <c r="J8" s="8"/>
      <c r="K8" s="8"/>
    </row>
    <row r="9" spans="1:11" ht="20.25" customHeight="1">
      <c r="A9" s="7"/>
      <c r="B9" s="8"/>
      <c r="C9" s="8"/>
      <c r="D9" s="9"/>
      <c r="E9" s="8"/>
      <c r="F9" s="8" t="s">
        <v>15</v>
      </c>
      <c r="G9" s="8"/>
      <c r="H9" s="8"/>
      <c r="I9" s="8" t="s">
        <v>16</v>
      </c>
      <c r="J9" s="8"/>
      <c r="K9" s="8"/>
    </row>
    <row r="10" spans="1:11" ht="21" customHeight="1">
      <c r="A10" s="7"/>
      <c r="B10" s="8"/>
      <c r="C10" s="8"/>
      <c r="D10" s="9"/>
      <c r="E10" s="8"/>
      <c r="F10" s="8" t="s">
        <v>17</v>
      </c>
      <c r="G10" s="8" t="s">
        <v>18</v>
      </c>
      <c r="H10" s="8"/>
      <c r="I10" s="8"/>
      <c r="J10" s="8"/>
      <c r="K10" s="8"/>
    </row>
    <row r="11" spans="1:11" ht="39" customHeight="1">
      <c r="A11" s="7"/>
      <c r="B11" s="8"/>
      <c r="C11" s="8"/>
      <c r="D11" s="9"/>
      <c r="E11" s="8"/>
      <c r="F11" s="8"/>
      <c r="G11" s="8" t="s">
        <v>19</v>
      </c>
      <c r="H11" s="8" t="s">
        <v>20</v>
      </c>
      <c r="I11" s="8"/>
      <c r="J11" s="8"/>
      <c r="K11" s="8"/>
    </row>
    <row r="12" spans="1:11" ht="15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21.75" customHeight="1">
      <c r="A13" s="10" t="s">
        <v>21</v>
      </c>
      <c r="B13" s="10" t="s">
        <v>22</v>
      </c>
      <c r="C13" s="10">
        <v>2017</v>
      </c>
      <c r="D13" s="11">
        <f aca="true" t="shared" si="0" ref="D13:D15">H13+I13+J13</f>
        <v>83856.64676000002</v>
      </c>
      <c r="E13" s="12"/>
      <c r="F13" s="12">
        <f>G13+H13</f>
        <v>9038.8</v>
      </c>
      <c r="G13" s="12"/>
      <c r="H13" s="12">
        <f>H18</f>
        <v>9038.8</v>
      </c>
      <c r="I13" s="12">
        <f>I18+I23+I28</f>
        <v>74817.84676000001</v>
      </c>
      <c r="J13" s="10">
        <v>0</v>
      </c>
      <c r="K13" s="10" t="s">
        <v>23</v>
      </c>
    </row>
    <row r="14" spans="1:11" ht="20.25" customHeight="1">
      <c r="A14" s="10"/>
      <c r="B14" s="10"/>
      <c r="C14" s="10">
        <v>2018</v>
      </c>
      <c r="D14" s="12">
        <f t="shared" si="0"/>
        <v>75201.93546000001</v>
      </c>
      <c r="E14" s="12"/>
      <c r="F14" s="12">
        <f>H14+G14</f>
        <v>10004.882000000001</v>
      </c>
      <c r="G14" s="12"/>
      <c r="H14" s="11">
        <f>SUM(H19+H24+H29)</f>
        <v>10004.882000000001</v>
      </c>
      <c r="I14" s="11">
        <f>SUM(I19+I24+I29)</f>
        <v>60504.86246</v>
      </c>
      <c r="J14" s="10">
        <f aca="true" t="shared" si="1" ref="J14:J16">J19</f>
        <v>4692.191</v>
      </c>
      <c r="K14" s="10"/>
    </row>
    <row r="15" spans="1:11" ht="16.5">
      <c r="A15" s="10"/>
      <c r="B15" s="10"/>
      <c r="C15" s="10">
        <v>2019</v>
      </c>
      <c r="D15" s="13">
        <f t="shared" si="0"/>
        <v>78812.43600000002</v>
      </c>
      <c r="E15" s="12"/>
      <c r="F15" s="12">
        <f>G15+H15</f>
        <v>14971.027</v>
      </c>
      <c r="G15" s="12"/>
      <c r="H15" s="12">
        <f aca="true" t="shared" si="2" ref="H15:H16">H20+H25</f>
        <v>14971.027</v>
      </c>
      <c r="I15" s="12">
        <f aca="true" t="shared" si="3" ref="I15:I16">I20+I25+I30</f>
        <v>59149.21800000001</v>
      </c>
      <c r="J15" s="10">
        <f t="shared" si="1"/>
        <v>4692.191</v>
      </c>
      <c r="K15" s="10"/>
    </row>
    <row r="16" spans="1:11" ht="21" customHeight="1">
      <c r="A16" s="10"/>
      <c r="B16" s="10"/>
      <c r="C16" s="10">
        <v>2020</v>
      </c>
      <c r="D16" s="13">
        <f>J16+I16+H16</f>
        <v>77673.736</v>
      </c>
      <c r="E16" s="12"/>
      <c r="F16" s="12">
        <f>H16+I16</f>
        <v>72981.545</v>
      </c>
      <c r="G16" s="12"/>
      <c r="H16" s="12">
        <f t="shared" si="2"/>
        <v>13971.027</v>
      </c>
      <c r="I16" s="12">
        <f t="shared" si="3"/>
        <v>59010.518000000004</v>
      </c>
      <c r="J16" s="10">
        <f t="shared" si="1"/>
        <v>4692.191</v>
      </c>
      <c r="K16" s="10"/>
    </row>
    <row r="17" spans="1:11" ht="30.75" customHeight="1">
      <c r="A17" s="10"/>
      <c r="B17" s="14" t="s">
        <v>24</v>
      </c>
      <c r="C17" s="15" t="s">
        <v>25</v>
      </c>
      <c r="D17" s="16">
        <f>H17+I17+14076.573</f>
        <v>315544.75422</v>
      </c>
      <c r="E17" s="17"/>
      <c r="F17" s="17">
        <f aca="true" t="shared" si="4" ref="F17:F22">G17+H17</f>
        <v>47985.736000000004</v>
      </c>
      <c r="G17" s="17"/>
      <c r="H17" s="18">
        <f>H13+H14+H15+H16</f>
        <v>47985.736000000004</v>
      </c>
      <c r="I17" s="18">
        <f>I13+I14+I15+I16</f>
        <v>253482.44522000002</v>
      </c>
      <c r="J17" s="15">
        <f>J13+J15+J16+J14+309</f>
        <v>14385.573</v>
      </c>
      <c r="K17" s="10"/>
    </row>
    <row r="18" spans="1:11" ht="30.75" customHeight="1">
      <c r="A18" s="10" t="s">
        <v>26</v>
      </c>
      <c r="B18" s="10" t="s">
        <v>27</v>
      </c>
      <c r="C18" s="10">
        <v>2017</v>
      </c>
      <c r="D18" s="11">
        <f aca="true" t="shared" si="5" ref="D18:D22">H18+I18+J18</f>
        <v>83485.04676000001</v>
      </c>
      <c r="E18" s="12"/>
      <c r="F18" s="12">
        <f t="shared" si="4"/>
        <v>9038.8</v>
      </c>
      <c r="G18" s="12"/>
      <c r="H18" s="12">
        <f>'под. культура'!H218</f>
        <v>9038.8</v>
      </c>
      <c r="I18" s="12">
        <f>'под. культура'!I218</f>
        <v>74446.24676000001</v>
      </c>
      <c r="J18" s="10">
        <f>'под. культура'!J218</f>
        <v>0</v>
      </c>
      <c r="K18" s="10" t="s">
        <v>23</v>
      </c>
    </row>
    <row r="19" spans="1:11" ht="27" customHeight="1">
      <c r="A19" s="10"/>
      <c r="B19" s="10"/>
      <c r="C19" s="10">
        <v>2018</v>
      </c>
      <c r="D19" s="12">
        <f t="shared" si="5"/>
        <v>74760.33546</v>
      </c>
      <c r="E19" s="12"/>
      <c r="F19" s="12">
        <f t="shared" si="4"/>
        <v>10004.882000000001</v>
      </c>
      <c r="G19" s="12"/>
      <c r="H19" s="12">
        <f>'под. культура'!H219</f>
        <v>10004.882000000001</v>
      </c>
      <c r="I19" s="12">
        <f>'под. культура'!I219</f>
        <v>60063.26246</v>
      </c>
      <c r="J19" s="10">
        <f>'под. культура'!J203</f>
        <v>4692.191</v>
      </c>
      <c r="K19" s="10"/>
    </row>
    <row r="20" spans="1:11" ht="27" customHeight="1">
      <c r="A20" s="10"/>
      <c r="B20" s="10"/>
      <c r="C20" s="10">
        <v>2019</v>
      </c>
      <c r="D20" s="13">
        <f t="shared" si="5"/>
        <v>73440.83600000001</v>
      </c>
      <c r="E20" s="12"/>
      <c r="F20" s="12">
        <f t="shared" si="4"/>
        <v>9971.027</v>
      </c>
      <c r="G20" s="12"/>
      <c r="H20" s="12">
        <f>'под. культура'!H220</f>
        <v>9971.027</v>
      </c>
      <c r="I20" s="12">
        <f>'под. культура'!I220</f>
        <v>58777.61800000001</v>
      </c>
      <c r="J20" s="10">
        <f>'под. культура'!J204</f>
        <v>4692.191</v>
      </c>
      <c r="K20" s="10"/>
    </row>
    <row r="21" spans="1:11" ht="24.75" customHeight="1">
      <c r="A21" s="10"/>
      <c r="B21" s="10"/>
      <c r="C21" s="10">
        <v>2020</v>
      </c>
      <c r="D21" s="13">
        <f t="shared" si="5"/>
        <v>73302.13600000001</v>
      </c>
      <c r="E21" s="12"/>
      <c r="F21" s="12">
        <f t="shared" si="4"/>
        <v>9971.027</v>
      </c>
      <c r="G21" s="12"/>
      <c r="H21" s="12">
        <f>'под. культура'!H221</f>
        <v>9971.027</v>
      </c>
      <c r="I21" s="12">
        <f>'под. культура'!I221</f>
        <v>58638.918000000005</v>
      </c>
      <c r="J21" s="10">
        <f>'под. культура'!J205</f>
        <v>4692.191</v>
      </c>
      <c r="K21" s="10"/>
    </row>
    <row r="22" spans="1:11" ht="21" customHeight="1">
      <c r="A22" s="10"/>
      <c r="B22" s="14" t="s">
        <v>28</v>
      </c>
      <c r="C22" s="15" t="s">
        <v>25</v>
      </c>
      <c r="D22" s="16">
        <f t="shared" si="5"/>
        <v>305606.35422</v>
      </c>
      <c r="E22" s="17"/>
      <c r="F22" s="17">
        <f t="shared" si="4"/>
        <v>38985.736000000004</v>
      </c>
      <c r="G22" s="17"/>
      <c r="H22" s="17">
        <f>H18+H19+H20+H21</f>
        <v>38985.736000000004</v>
      </c>
      <c r="I22" s="17">
        <f>I18+I19+I20+I21+309</f>
        <v>252235.04522000003</v>
      </c>
      <c r="J22" s="17">
        <f>SUM(J19:J21)+309</f>
        <v>14385.573</v>
      </c>
      <c r="K22" s="10"/>
    </row>
    <row r="23" spans="1:11" ht="21" customHeight="1">
      <c r="A23" s="10" t="s">
        <v>29</v>
      </c>
      <c r="B23" s="10" t="s">
        <v>30</v>
      </c>
      <c r="C23" s="10">
        <v>2017</v>
      </c>
      <c r="D23" s="11">
        <f>I23</f>
        <v>358.5</v>
      </c>
      <c r="E23" s="17"/>
      <c r="F23" s="17"/>
      <c r="G23" s="17"/>
      <c r="H23" s="17"/>
      <c r="I23" s="13">
        <f>'подпр Физ и спорт'!O38</f>
        <v>358.5</v>
      </c>
      <c r="J23" s="15"/>
      <c r="K23" s="10" t="s">
        <v>23</v>
      </c>
    </row>
    <row r="24" spans="1:11" ht="19.5" customHeight="1">
      <c r="A24" s="10"/>
      <c r="B24" s="10"/>
      <c r="C24" s="10">
        <v>2018</v>
      </c>
      <c r="D24" s="11">
        <f>H24+I24</f>
        <v>428.5</v>
      </c>
      <c r="E24" s="13"/>
      <c r="F24" s="13"/>
      <c r="G24" s="13"/>
      <c r="H24" s="13"/>
      <c r="I24" s="13">
        <f>'подпр Физ и спорт'!O39+70</f>
        <v>428.5</v>
      </c>
      <c r="J24" s="15"/>
      <c r="K24" s="10"/>
    </row>
    <row r="25" spans="1:11" ht="16.5">
      <c r="A25" s="10"/>
      <c r="B25" s="10"/>
      <c r="C25" s="10">
        <v>2019</v>
      </c>
      <c r="D25" s="11">
        <f aca="true" t="shared" si="6" ref="D25:D26">SUM(E25:I25)</f>
        <v>10358.5</v>
      </c>
      <c r="E25" s="17"/>
      <c r="F25" s="17">
        <f>H25+G25</f>
        <v>5000</v>
      </c>
      <c r="G25" s="17"/>
      <c r="H25" s="13">
        <f>'подпр Физ и спорт'!I60</f>
        <v>5000</v>
      </c>
      <c r="I25" s="13">
        <f>'подпр Физ и спорт'!O60</f>
        <v>358.5</v>
      </c>
      <c r="J25" s="15"/>
      <c r="K25" s="10"/>
    </row>
    <row r="26" spans="1:11" ht="24" customHeight="1">
      <c r="A26" s="10"/>
      <c r="B26" s="10"/>
      <c r="C26" s="10">
        <v>2020</v>
      </c>
      <c r="D26" s="11">
        <f t="shared" si="6"/>
        <v>8358.5</v>
      </c>
      <c r="E26" s="17"/>
      <c r="F26" s="17">
        <f aca="true" t="shared" si="7" ref="F26:F27">G26+H26</f>
        <v>4000</v>
      </c>
      <c r="G26" s="17"/>
      <c r="H26" s="13">
        <f>'подпр Физ и спорт'!I61</f>
        <v>4000</v>
      </c>
      <c r="I26" s="13">
        <f>'подпр Физ и спорт'!O61</f>
        <v>358.5</v>
      </c>
      <c r="J26" s="15"/>
      <c r="K26" s="10"/>
    </row>
    <row r="27" spans="1:11" ht="18" customHeight="1">
      <c r="A27" s="10"/>
      <c r="B27" s="14" t="s">
        <v>31</v>
      </c>
      <c r="C27" s="15" t="s">
        <v>25</v>
      </c>
      <c r="D27" s="16">
        <f>D24+D25+D26+D23</f>
        <v>19504</v>
      </c>
      <c r="E27" s="17"/>
      <c r="F27" s="17">
        <f t="shared" si="7"/>
        <v>9000</v>
      </c>
      <c r="G27" s="17"/>
      <c r="H27" s="17">
        <f>H24+H25+H26</f>
        <v>9000</v>
      </c>
      <c r="I27" s="17">
        <f>I24+I25+I26+I23</f>
        <v>1504</v>
      </c>
      <c r="J27" s="15"/>
      <c r="K27" s="10"/>
    </row>
    <row r="28" spans="1:11" ht="18" customHeight="1">
      <c r="A28" s="10" t="s">
        <v>32</v>
      </c>
      <c r="B28" s="10" t="s">
        <v>33</v>
      </c>
      <c r="C28" s="10">
        <v>2017</v>
      </c>
      <c r="D28" s="11">
        <f>I28</f>
        <v>13.1</v>
      </c>
      <c r="E28" s="17"/>
      <c r="F28" s="17"/>
      <c r="G28" s="17"/>
      <c r="H28" s="17"/>
      <c r="I28" s="13">
        <f>'подпр Прав культ'!I63</f>
        <v>13.1</v>
      </c>
      <c r="J28" s="15"/>
      <c r="K28" s="10" t="s">
        <v>23</v>
      </c>
    </row>
    <row r="29" spans="1:11" ht="24" customHeight="1">
      <c r="A29" s="10"/>
      <c r="B29" s="10"/>
      <c r="C29" s="10">
        <v>2018</v>
      </c>
      <c r="D29" s="11">
        <f>H29+I29</f>
        <v>13.100000000000001</v>
      </c>
      <c r="E29" s="17"/>
      <c r="F29" s="17"/>
      <c r="G29" s="17"/>
      <c r="H29" s="17"/>
      <c r="I29" s="13">
        <f>'подпр Прав культ'!I64</f>
        <v>13.100000000000001</v>
      </c>
      <c r="J29" s="15"/>
      <c r="K29" s="10"/>
    </row>
    <row r="30" spans="1:11" ht="16.5">
      <c r="A30" s="10"/>
      <c r="B30" s="10"/>
      <c r="C30" s="10">
        <v>2019</v>
      </c>
      <c r="D30" s="11">
        <f>'подпр Прав культ'!I65</f>
        <v>13.100000000000001</v>
      </c>
      <c r="E30" s="17"/>
      <c r="F30" s="17"/>
      <c r="G30" s="17"/>
      <c r="H30" s="17"/>
      <c r="I30" s="13">
        <f aca="true" t="shared" si="8" ref="I30:I31">D30</f>
        <v>13.100000000000001</v>
      </c>
      <c r="J30" s="15"/>
      <c r="K30" s="10"/>
    </row>
    <row r="31" spans="1:11" ht="18" customHeight="1">
      <c r="A31" s="10"/>
      <c r="B31" s="10"/>
      <c r="C31" s="10">
        <v>2020</v>
      </c>
      <c r="D31" s="11">
        <f>'подпр Прав культ'!I66</f>
        <v>13.100000000000001</v>
      </c>
      <c r="E31" s="17"/>
      <c r="F31" s="17"/>
      <c r="G31" s="17"/>
      <c r="H31" s="17"/>
      <c r="I31" s="13">
        <f t="shared" si="8"/>
        <v>13.100000000000001</v>
      </c>
      <c r="J31" s="15"/>
      <c r="K31" s="10"/>
    </row>
    <row r="32" spans="1:11" ht="16.5" customHeight="1">
      <c r="A32" s="10"/>
      <c r="B32" s="14" t="s">
        <v>31</v>
      </c>
      <c r="C32" s="15" t="s">
        <v>25</v>
      </c>
      <c r="D32" s="16">
        <f>D29+D30+D31+D28</f>
        <v>52.400000000000006</v>
      </c>
      <c r="E32" s="17"/>
      <c r="F32" s="17"/>
      <c r="G32" s="17"/>
      <c r="H32" s="17"/>
      <c r="I32" s="17">
        <f>I29+I30+I31+I28</f>
        <v>52.400000000000006</v>
      </c>
      <c r="J32" s="15"/>
      <c r="K32" s="10"/>
    </row>
  </sheetData>
  <sheetProtection selectLockedCells="1" selectUnlockedCells="1"/>
  <mergeCells count="24">
    <mergeCell ref="A7:A9"/>
    <mergeCell ref="B7:B9"/>
    <mergeCell ref="C7:C9"/>
    <mergeCell ref="E7:I7"/>
    <mergeCell ref="J7:J11"/>
    <mergeCell ref="K7:K9"/>
    <mergeCell ref="E8:E11"/>
    <mergeCell ref="F8:I8"/>
    <mergeCell ref="F9:H9"/>
    <mergeCell ref="I9:I11"/>
    <mergeCell ref="F10:F11"/>
    <mergeCell ref="G10:H10"/>
    <mergeCell ref="A13:A17"/>
    <mergeCell ref="B13:B16"/>
    <mergeCell ref="K13:K17"/>
    <mergeCell ref="A18:A21"/>
    <mergeCell ref="B18:B21"/>
    <mergeCell ref="K18:K22"/>
    <mergeCell ref="A23:A26"/>
    <mergeCell ref="B23:B26"/>
    <mergeCell ref="K23:K27"/>
    <mergeCell ref="A28:A31"/>
    <mergeCell ref="B28:B31"/>
    <mergeCell ref="K28:K32"/>
  </mergeCells>
  <printOptions/>
  <pageMargins left="0.7083333333333334" right="0.7083333333333334" top="0.3701388888888889" bottom="0.7479166666666667" header="0.5118055555555555" footer="0.5118055555555555"/>
  <pageSetup fitToHeight="7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4"/>
  <sheetViews>
    <sheetView tabSelected="1" view="pageBreakPreview" zoomScaleSheetLayoutView="100" workbookViewId="0" topLeftCell="A1">
      <selection activeCell="I222" sqref="I222"/>
    </sheetView>
  </sheetViews>
  <sheetFormatPr defaultColWidth="8.00390625" defaultRowHeight="15"/>
  <cols>
    <col min="1" max="1" width="11.421875" style="0" customWidth="1"/>
    <col min="2" max="2" width="35.7109375" style="0" customWidth="1"/>
    <col min="3" max="3" width="10.421875" style="0" customWidth="1"/>
    <col min="4" max="4" width="12.57421875" style="19" customWidth="1"/>
    <col min="5" max="7" width="11.57421875" style="0" customWidth="1"/>
    <col min="8" max="8" width="12.00390625" style="20" customWidth="1"/>
    <col min="9" max="9" width="13.140625" style="0" customWidth="1"/>
    <col min="10" max="10" width="12.7109375" style="0" customWidth="1"/>
    <col min="11" max="11" width="24.7109375" style="0" customWidth="1"/>
    <col min="12" max="12" width="26.7109375" style="0" customWidth="1"/>
    <col min="13" max="16384" width="9.00390625" style="0" customWidth="1"/>
  </cols>
  <sheetData>
    <row r="1" spans="3:20" ht="15.75">
      <c r="C1" s="21"/>
      <c r="D1" s="21"/>
      <c r="E1" s="21"/>
      <c r="F1" s="21"/>
      <c r="G1" s="21"/>
      <c r="H1" s="21"/>
      <c r="I1" s="21"/>
      <c r="J1" s="21"/>
      <c r="K1" s="22" t="s">
        <v>34</v>
      </c>
      <c r="L1" s="22"/>
      <c r="M1" s="23"/>
      <c r="N1" s="23"/>
      <c r="O1" s="23"/>
      <c r="P1" s="23"/>
      <c r="Q1" s="23"/>
      <c r="R1" s="23"/>
      <c r="S1" s="23"/>
      <c r="T1" s="23"/>
    </row>
    <row r="2" spans="3:20" ht="15.75">
      <c r="C2" s="21"/>
      <c r="D2" s="21"/>
      <c r="E2" s="21"/>
      <c r="F2" s="21"/>
      <c r="G2" s="21"/>
      <c r="H2" s="21"/>
      <c r="I2" s="21"/>
      <c r="J2" s="21"/>
      <c r="K2" s="22" t="s">
        <v>1</v>
      </c>
      <c r="L2" s="22"/>
      <c r="M2" s="23"/>
      <c r="N2" s="23"/>
      <c r="O2" s="23"/>
      <c r="P2" s="23"/>
      <c r="Q2" s="23"/>
      <c r="R2" s="23"/>
      <c r="S2" s="23"/>
      <c r="T2" s="23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22" t="s">
        <v>2</v>
      </c>
      <c r="L3" s="22"/>
      <c r="M3" s="23"/>
      <c r="N3" s="23"/>
      <c r="O3" s="23"/>
      <c r="P3" s="23"/>
      <c r="Q3" s="23"/>
      <c r="R3" s="23"/>
      <c r="S3" s="23"/>
      <c r="T3" s="23"/>
    </row>
    <row r="4" spans="1:12" ht="15.75">
      <c r="A4" s="3"/>
      <c r="B4" s="3"/>
      <c r="C4" s="3"/>
      <c r="D4" s="4"/>
      <c r="E4" s="3"/>
      <c r="F4" s="3"/>
      <c r="G4" s="3"/>
      <c r="H4" s="5"/>
      <c r="I4" s="3"/>
      <c r="J4" s="3"/>
      <c r="K4" s="22" t="s">
        <v>3</v>
      </c>
      <c r="L4" s="22"/>
    </row>
    <row r="5" spans="1:12" ht="15.75">
      <c r="A5" s="3"/>
      <c r="B5" s="3"/>
      <c r="C5" s="3"/>
      <c r="D5" s="4"/>
      <c r="E5" s="3"/>
      <c r="F5" s="3"/>
      <c r="G5" s="3"/>
      <c r="H5" s="5"/>
      <c r="I5" s="3"/>
      <c r="J5" s="3"/>
      <c r="K5" s="21"/>
      <c r="L5" s="21"/>
    </row>
    <row r="6" spans="1:12" ht="15" customHeight="1">
      <c r="A6" s="24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A7" s="25" t="s">
        <v>36</v>
      </c>
      <c r="B7" s="25" t="s">
        <v>37</v>
      </c>
      <c r="C7" s="25" t="s">
        <v>7</v>
      </c>
      <c r="D7" s="26" t="s">
        <v>38</v>
      </c>
      <c r="E7" s="25" t="s">
        <v>39</v>
      </c>
      <c r="F7" s="25"/>
      <c r="G7" s="25"/>
      <c r="H7" s="25"/>
      <c r="I7" s="25"/>
      <c r="J7" s="27" t="s">
        <v>40</v>
      </c>
      <c r="K7" s="27" t="s">
        <v>41</v>
      </c>
      <c r="L7" s="27" t="s">
        <v>42</v>
      </c>
    </row>
    <row r="8" spans="1:12" ht="14.25" customHeight="1">
      <c r="A8" s="25"/>
      <c r="B8" s="25"/>
      <c r="C8" s="25"/>
      <c r="D8" s="26"/>
      <c r="E8" s="25"/>
      <c r="F8" s="25" t="s">
        <v>14</v>
      </c>
      <c r="G8" s="25"/>
      <c r="H8" s="25"/>
      <c r="I8" s="25"/>
      <c r="J8" s="27"/>
      <c r="K8" s="27"/>
      <c r="L8" s="27"/>
    </row>
    <row r="9" spans="1:12" ht="34.5" customHeight="1">
      <c r="A9" s="25"/>
      <c r="B9" s="25"/>
      <c r="C9" s="25"/>
      <c r="D9" s="26"/>
      <c r="E9" s="25" t="s">
        <v>43</v>
      </c>
      <c r="F9" s="25" t="s">
        <v>44</v>
      </c>
      <c r="G9" s="25"/>
      <c r="H9" s="25"/>
      <c r="I9" s="25" t="s">
        <v>45</v>
      </c>
      <c r="J9" s="27"/>
      <c r="K9" s="27"/>
      <c r="L9" s="27"/>
    </row>
    <row r="10" spans="1:12" ht="34.5" customHeight="1">
      <c r="A10" s="25"/>
      <c r="B10" s="25"/>
      <c r="C10" s="25"/>
      <c r="D10" s="26"/>
      <c r="E10" s="25"/>
      <c r="F10" s="25" t="s">
        <v>17</v>
      </c>
      <c r="G10" s="25" t="s">
        <v>18</v>
      </c>
      <c r="H10" s="25"/>
      <c r="I10" s="25"/>
      <c r="J10" s="27"/>
      <c r="K10" s="27"/>
      <c r="L10" s="27"/>
    </row>
    <row r="11" spans="1:12" ht="78" customHeight="1">
      <c r="A11" s="25"/>
      <c r="B11" s="25"/>
      <c r="C11" s="25"/>
      <c r="D11" s="26"/>
      <c r="E11" s="25"/>
      <c r="F11" s="25"/>
      <c r="G11" s="25" t="s">
        <v>19</v>
      </c>
      <c r="H11" s="28" t="s">
        <v>46</v>
      </c>
      <c r="I11" s="25"/>
      <c r="J11" s="27"/>
      <c r="K11" s="27"/>
      <c r="L11" s="27"/>
    </row>
    <row r="12" spans="1:12" ht="15.75">
      <c r="A12" s="25">
        <v>1</v>
      </c>
      <c r="B12" s="25">
        <v>2</v>
      </c>
      <c r="C12" s="25">
        <v>3</v>
      </c>
      <c r="D12" s="29">
        <v>4</v>
      </c>
      <c r="E12" s="25">
        <v>5</v>
      </c>
      <c r="F12" s="25">
        <v>6</v>
      </c>
      <c r="G12" s="25">
        <v>7</v>
      </c>
      <c r="H12" s="30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ht="14.25" customHeight="1">
      <c r="A13" s="31" t="s">
        <v>47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4.25" customHeight="1">
      <c r="A14" s="32" t="s">
        <v>48</v>
      </c>
      <c r="B14" s="33" t="s">
        <v>49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4.25" customHeight="1">
      <c r="A15" s="32" t="s">
        <v>50</v>
      </c>
      <c r="B15" s="33" t="s">
        <v>51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.75" customHeight="1">
      <c r="A16" s="34" t="s">
        <v>26</v>
      </c>
      <c r="B16" s="25" t="s">
        <v>52</v>
      </c>
      <c r="C16" s="35">
        <v>2017</v>
      </c>
      <c r="D16" s="36">
        <f>I16</f>
        <v>50</v>
      </c>
      <c r="E16" s="36">
        <v>0</v>
      </c>
      <c r="F16" s="36"/>
      <c r="G16" s="36"/>
      <c r="H16" s="36">
        <v>0</v>
      </c>
      <c r="I16" s="36">
        <v>50</v>
      </c>
      <c r="J16" s="33"/>
      <c r="K16" s="25" t="s">
        <v>53</v>
      </c>
      <c r="L16" s="25" t="s">
        <v>54</v>
      </c>
    </row>
    <row r="17" spans="1:12" ht="22.5" customHeight="1">
      <c r="A17" s="34"/>
      <c r="B17" s="25"/>
      <c r="C17" s="30">
        <v>2018</v>
      </c>
      <c r="D17" s="28">
        <f aca="true" t="shared" si="0" ref="D17:D19">H17+I17</f>
        <v>50</v>
      </c>
      <c r="E17" s="28">
        <v>0</v>
      </c>
      <c r="F17" s="28"/>
      <c r="G17" s="28"/>
      <c r="H17" s="28">
        <v>0</v>
      </c>
      <c r="I17" s="37">
        <v>50</v>
      </c>
      <c r="J17" s="33"/>
      <c r="K17" s="25"/>
      <c r="L17" s="25"/>
    </row>
    <row r="18" spans="1:12" ht="15.75">
      <c r="A18" s="34"/>
      <c r="B18" s="25"/>
      <c r="C18" s="30">
        <v>2019</v>
      </c>
      <c r="D18" s="28">
        <f t="shared" si="0"/>
        <v>50</v>
      </c>
      <c r="E18" s="28">
        <v>0</v>
      </c>
      <c r="F18" s="28"/>
      <c r="G18" s="28"/>
      <c r="H18" s="28">
        <v>0</v>
      </c>
      <c r="I18" s="37">
        <v>50</v>
      </c>
      <c r="J18" s="33"/>
      <c r="K18" s="25"/>
      <c r="L18" s="25"/>
    </row>
    <row r="19" spans="1:12" ht="15.75">
      <c r="A19" s="34"/>
      <c r="B19" s="25"/>
      <c r="C19" s="30">
        <v>2020</v>
      </c>
      <c r="D19" s="28">
        <f t="shared" si="0"/>
        <v>50</v>
      </c>
      <c r="E19" s="28">
        <v>0</v>
      </c>
      <c r="F19" s="28"/>
      <c r="G19" s="28"/>
      <c r="H19" s="28">
        <v>0</v>
      </c>
      <c r="I19" s="37">
        <v>50</v>
      </c>
      <c r="J19" s="33"/>
      <c r="K19" s="25"/>
      <c r="L19" s="25"/>
    </row>
    <row r="20" spans="1:12" ht="18.75" customHeight="1">
      <c r="A20" s="34" t="s">
        <v>29</v>
      </c>
      <c r="B20" s="25"/>
      <c r="C20" s="30">
        <v>2017</v>
      </c>
      <c r="D20" s="28">
        <f>I20</f>
        <v>44.99</v>
      </c>
      <c r="E20" s="28">
        <v>0</v>
      </c>
      <c r="F20" s="28"/>
      <c r="G20" s="28"/>
      <c r="H20" s="28">
        <v>0</v>
      </c>
      <c r="I20" s="37">
        <v>44.99</v>
      </c>
      <c r="J20" s="33"/>
      <c r="K20" s="25" t="s">
        <v>55</v>
      </c>
      <c r="L20" s="25"/>
    </row>
    <row r="21" spans="1:12" ht="36" customHeight="1">
      <c r="A21" s="34"/>
      <c r="B21" s="32" t="s">
        <v>56</v>
      </c>
      <c r="C21" s="38">
        <v>2018</v>
      </c>
      <c r="D21" s="28">
        <f aca="true" t="shared" si="1" ref="D21:D22">SUM(E21:I21)</f>
        <v>20</v>
      </c>
      <c r="E21" s="28">
        <v>0</v>
      </c>
      <c r="F21" s="28"/>
      <c r="G21" s="28"/>
      <c r="H21" s="28">
        <v>0</v>
      </c>
      <c r="I21" s="37">
        <v>20</v>
      </c>
      <c r="J21" s="32"/>
      <c r="K21" s="25"/>
      <c r="L21" s="25"/>
    </row>
    <row r="22" spans="1:12" ht="24.75" customHeight="1">
      <c r="A22" s="34"/>
      <c r="B22" s="32" t="s">
        <v>57</v>
      </c>
      <c r="C22" s="38">
        <v>2019</v>
      </c>
      <c r="D22" s="28">
        <f t="shared" si="1"/>
        <v>20</v>
      </c>
      <c r="E22" s="28">
        <v>0</v>
      </c>
      <c r="F22" s="28"/>
      <c r="G22" s="28"/>
      <c r="H22" s="28">
        <v>0</v>
      </c>
      <c r="I22" s="37">
        <v>20</v>
      </c>
      <c r="J22" s="39"/>
      <c r="K22" s="25"/>
      <c r="L22" s="25"/>
    </row>
    <row r="23" spans="1:12" ht="29.25" customHeight="1">
      <c r="A23" s="34"/>
      <c r="B23" s="32" t="s">
        <v>58</v>
      </c>
      <c r="C23" s="30">
        <v>2020</v>
      </c>
      <c r="D23" s="28">
        <f>SUM(E23:I24)</f>
        <v>20</v>
      </c>
      <c r="E23" s="28">
        <v>0</v>
      </c>
      <c r="F23" s="28"/>
      <c r="G23" s="28"/>
      <c r="H23" s="28">
        <v>0</v>
      </c>
      <c r="I23" s="37">
        <v>20</v>
      </c>
      <c r="J23" s="32"/>
      <c r="K23" s="25"/>
      <c r="L23" s="25"/>
    </row>
    <row r="24" spans="1:12" ht="27" customHeight="1">
      <c r="A24" s="34"/>
      <c r="B24" s="32" t="s">
        <v>59</v>
      </c>
      <c r="C24" s="30"/>
      <c r="D24" s="28"/>
      <c r="E24" s="28"/>
      <c r="F24" s="28"/>
      <c r="G24" s="28"/>
      <c r="H24" s="28"/>
      <c r="I24" s="37"/>
      <c r="J24" s="32"/>
      <c r="K24" s="25"/>
      <c r="L24" s="25"/>
    </row>
    <row r="25" spans="1:12" ht="27" customHeight="1">
      <c r="A25" s="34" t="s">
        <v>32</v>
      </c>
      <c r="B25" s="25" t="s">
        <v>60</v>
      </c>
      <c r="C25" s="30">
        <v>2017</v>
      </c>
      <c r="D25" s="28">
        <f>I25</f>
        <v>7</v>
      </c>
      <c r="E25" s="28">
        <v>0</v>
      </c>
      <c r="F25" s="28"/>
      <c r="G25" s="28"/>
      <c r="H25" s="28">
        <v>0</v>
      </c>
      <c r="I25" s="37">
        <v>7</v>
      </c>
      <c r="J25" s="32"/>
      <c r="K25" s="25" t="s">
        <v>61</v>
      </c>
      <c r="L25" s="25" t="s">
        <v>62</v>
      </c>
    </row>
    <row r="26" spans="1:12" ht="22.5" customHeight="1">
      <c r="A26" s="34"/>
      <c r="B26" s="25"/>
      <c r="C26" s="30">
        <v>2018</v>
      </c>
      <c r="D26" s="28">
        <f>E26+H26+I26</f>
        <v>3</v>
      </c>
      <c r="E26" s="28">
        <v>0</v>
      </c>
      <c r="F26" s="28"/>
      <c r="G26" s="28"/>
      <c r="H26" s="28">
        <v>0</v>
      </c>
      <c r="I26" s="37">
        <v>3</v>
      </c>
      <c r="J26" s="39"/>
      <c r="K26" s="25"/>
      <c r="L26" s="25"/>
    </row>
    <row r="27" spans="1:12" ht="15.75">
      <c r="A27" s="34"/>
      <c r="B27" s="25"/>
      <c r="C27" s="30">
        <v>2019</v>
      </c>
      <c r="D27" s="28">
        <f>SUM(E27:I27)</f>
        <v>3</v>
      </c>
      <c r="E27" s="28">
        <v>0</v>
      </c>
      <c r="F27" s="28"/>
      <c r="G27" s="28"/>
      <c r="H27" s="28">
        <v>0</v>
      </c>
      <c r="I27" s="37">
        <v>3</v>
      </c>
      <c r="J27" s="39"/>
      <c r="K27" s="25"/>
      <c r="L27" s="25"/>
    </row>
    <row r="28" spans="1:12" ht="27" customHeight="1">
      <c r="A28" s="34"/>
      <c r="B28" s="25"/>
      <c r="C28" s="30">
        <v>2020</v>
      </c>
      <c r="D28" s="28">
        <f aca="true" t="shared" si="2" ref="D28:D29">I28</f>
        <v>3</v>
      </c>
      <c r="E28" s="28">
        <v>0</v>
      </c>
      <c r="F28" s="28"/>
      <c r="G28" s="28"/>
      <c r="H28" s="28">
        <v>0</v>
      </c>
      <c r="I28" s="37">
        <v>3</v>
      </c>
      <c r="J28" s="39"/>
      <c r="K28" s="25"/>
      <c r="L28" s="25"/>
    </row>
    <row r="29" spans="1:12" ht="27" customHeight="1">
      <c r="A29" s="34" t="s">
        <v>63</v>
      </c>
      <c r="B29" s="25" t="s">
        <v>64</v>
      </c>
      <c r="C29" s="30">
        <v>2017</v>
      </c>
      <c r="D29" s="28">
        <f t="shared" si="2"/>
        <v>8</v>
      </c>
      <c r="E29" s="28">
        <v>0</v>
      </c>
      <c r="F29" s="28"/>
      <c r="G29" s="28"/>
      <c r="H29" s="28">
        <v>0</v>
      </c>
      <c r="I29" s="37">
        <v>8</v>
      </c>
      <c r="J29" s="39"/>
      <c r="K29" s="25" t="s">
        <v>65</v>
      </c>
      <c r="L29" s="25"/>
    </row>
    <row r="30" spans="1:12" ht="21" customHeight="1">
      <c r="A30" s="34"/>
      <c r="B30" s="25"/>
      <c r="C30" s="30">
        <v>2018</v>
      </c>
      <c r="D30" s="28">
        <f>E30+H30+I30</f>
        <v>5</v>
      </c>
      <c r="E30" s="28">
        <v>0</v>
      </c>
      <c r="F30" s="28"/>
      <c r="G30" s="28"/>
      <c r="H30" s="28">
        <v>0</v>
      </c>
      <c r="I30" s="37">
        <v>5</v>
      </c>
      <c r="J30" s="32"/>
      <c r="K30" s="25"/>
      <c r="L30" s="40" t="s">
        <v>66</v>
      </c>
    </row>
    <row r="31" spans="1:12" ht="15.75">
      <c r="A31" s="34"/>
      <c r="B31" s="25"/>
      <c r="C31" s="30">
        <v>2019</v>
      </c>
      <c r="D31" s="28">
        <f>SUM(E31:I31)</f>
        <v>5</v>
      </c>
      <c r="E31" s="28">
        <v>0</v>
      </c>
      <c r="F31" s="28"/>
      <c r="G31" s="28"/>
      <c r="H31" s="28">
        <v>0</v>
      </c>
      <c r="I31" s="37">
        <v>5</v>
      </c>
      <c r="J31" s="32"/>
      <c r="K31" s="25"/>
      <c r="L31" s="40"/>
    </row>
    <row r="32" spans="1:12" ht="15.75">
      <c r="A32" s="34"/>
      <c r="B32" s="25"/>
      <c r="C32" s="30">
        <v>2020</v>
      </c>
      <c r="D32" s="28">
        <f aca="true" t="shared" si="3" ref="D32:D42">I32</f>
        <v>5</v>
      </c>
      <c r="E32" s="28">
        <v>0</v>
      </c>
      <c r="F32" s="28"/>
      <c r="G32" s="28"/>
      <c r="H32" s="28">
        <v>0</v>
      </c>
      <c r="I32" s="37">
        <v>5</v>
      </c>
      <c r="J32" s="32"/>
      <c r="K32" s="25"/>
      <c r="L32" s="40"/>
    </row>
    <row r="33" spans="1:12" ht="15.75" customHeight="1">
      <c r="A33" s="34" t="s">
        <v>67</v>
      </c>
      <c r="B33" s="25" t="s">
        <v>68</v>
      </c>
      <c r="C33" s="41">
        <v>2017</v>
      </c>
      <c r="D33" s="42">
        <f t="shared" si="3"/>
        <v>115.476</v>
      </c>
      <c r="E33" s="42">
        <v>0</v>
      </c>
      <c r="F33" s="42"/>
      <c r="G33" s="42"/>
      <c r="H33" s="42">
        <v>0</v>
      </c>
      <c r="I33" s="43">
        <v>115.476</v>
      </c>
      <c r="J33" s="32"/>
      <c r="K33" s="25" t="s">
        <v>69</v>
      </c>
      <c r="L33" s="40"/>
    </row>
    <row r="34" spans="1:12" ht="15.75">
      <c r="A34" s="34"/>
      <c r="B34" s="25"/>
      <c r="C34" s="41"/>
      <c r="D34" s="42">
        <f t="shared" si="3"/>
        <v>165.0305</v>
      </c>
      <c r="E34" s="42">
        <v>0</v>
      </c>
      <c r="F34" s="42"/>
      <c r="G34" s="42"/>
      <c r="H34" s="42">
        <v>0</v>
      </c>
      <c r="I34" s="43">
        <v>165.0305</v>
      </c>
      <c r="J34" s="32"/>
      <c r="K34" s="25" t="s">
        <v>70</v>
      </c>
      <c r="L34" s="40"/>
    </row>
    <row r="35" spans="1:12" ht="18" customHeight="1">
      <c r="A35" s="34"/>
      <c r="B35" s="25"/>
      <c r="C35" s="41"/>
      <c r="D35" s="42">
        <f t="shared" si="3"/>
        <v>230.5</v>
      </c>
      <c r="E35" s="42">
        <v>0</v>
      </c>
      <c r="F35" s="42"/>
      <c r="G35" s="42"/>
      <c r="H35" s="42">
        <v>0</v>
      </c>
      <c r="I35" s="43">
        <v>230.5</v>
      </c>
      <c r="J35" s="32"/>
      <c r="K35" s="25" t="s">
        <v>65</v>
      </c>
      <c r="L35" s="40"/>
    </row>
    <row r="36" spans="1:12" ht="33" customHeight="1">
      <c r="A36" s="34"/>
      <c r="B36" s="25"/>
      <c r="C36" s="30">
        <v>2018</v>
      </c>
      <c r="D36" s="42">
        <f t="shared" si="3"/>
        <v>277</v>
      </c>
      <c r="E36" s="42">
        <v>0</v>
      </c>
      <c r="F36" s="42"/>
      <c r="G36" s="42"/>
      <c r="H36" s="42">
        <v>0</v>
      </c>
      <c r="I36" s="43">
        <f>250+261+62.66+12.34-309</f>
        <v>277</v>
      </c>
      <c r="J36" s="39"/>
      <c r="K36" s="27" t="s">
        <v>65</v>
      </c>
      <c r="L36" s="40" t="s">
        <v>71</v>
      </c>
    </row>
    <row r="37" spans="1:12" ht="30" customHeight="1">
      <c r="A37" s="34"/>
      <c r="B37" s="25"/>
      <c r="C37" s="30">
        <v>2019</v>
      </c>
      <c r="D37" s="42">
        <f t="shared" si="3"/>
        <v>250</v>
      </c>
      <c r="E37" s="42">
        <v>0</v>
      </c>
      <c r="F37" s="42"/>
      <c r="G37" s="42"/>
      <c r="H37" s="42">
        <v>0</v>
      </c>
      <c r="I37" s="43">
        <f>250</f>
        <v>250</v>
      </c>
      <c r="J37" s="44"/>
      <c r="K37" s="27" t="s">
        <v>61</v>
      </c>
      <c r="L37" s="40"/>
    </row>
    <row r="38" spans="1:12" ht="32.25" customHeight="1">
      <c r="A38" s="34"/>
      <c r="B38" s="25"/>
      <c r="C38" s="30">
        <v>2020</v>
      </c>
      <c r="D38" s="42">
        <f t="shared" si="3"/>
        <v>250</v>
      </c>
      <c r="E38" s="42">
        <v>0</v>
      </c>
      <c r="F38" s="42"/>
      <c r="G38" s="42"/>
      <c r="H38" s="42">
        <v>0</v>
      </c>
      <c r="I38" s="43">
        <v>250</v>
      </c>
      <c r="J38" s="39"/>
      <c r="K38" s="27" t="s">
        <v>61</v>
      </c>
      <c r="L38" s="40"/>
    </row>
    <row r="39" spans="1:12" ht="18.75" customHeight="1">
      <c r="A39" s="34" t="s">
        <v>72</v>
      </c>
      <c r="B39" s="25" t="s">
        <v>73</v>
      </c>
      <c r="C39" s="30">
        <v>2017</v>
      </c>
      <c r="D39" s="45">
        <f t="shared" si="3"/>
        <v>56.559</v>
      </c>
      <c r="E39" s="45">
        <v>0</v>
      </c>
      <c r="F39" s="45"/>
      <c r="G39" s="45"/>
      <c r="H39" s="45">
        <v>0</v>
      </c>
      <c r="I39" s="46">
        <v>56.559</v>
      </c>
      <c r="J39" s="39"/>
      <c r="K39" s="27" t="s">
        <v>74</v>
      </c>
      <c r="L39" s="25" t="s">
        <v>75</v>
      </c>
    </row>
    <row r="40" spans="1:12" ht="25.5" customHeight="1">
      <c r="A40" s="34"/>
      <c r="B40" s="25"/>
      <c r="C40" s="30"/>
      <c r="D40" s="45">
        <f t="shared" si="3"/>
        <v>35</v>
      </c>
      <c r="E40" s="45">
        <v>0</v>
      </c>
      <c r="F40" s="45"/>
      <c r="G40" s="45"/>
      <c r="H40" s="45">
        <v>0</v>
      </c>
      <c r="I40" s="46">
        <v>35</v>
      </c>
      <c r="J40" s="39"/>
      <c r="K40" s="27" t="s">
        <v>69</v>
      </c>
      <c r="L40" s="25"/>
    </row>
    <row r="41" spans="1:12" ht="29.25" customHeight="1">
      <c r="A41" s="34"/>
      <c r="B41" s="25"/>
      <c r="C41" s="30"/>
      <c r="D41" s="45">
        <f t="shared" si="3"/>
        <v>250</v>
      </c>
      <c r="E41" s="45">
        <v>0</v>
      </c>
      <c r="F41" s="45"/>
      <c r="G41" s="45"/>
      <c r="H41" s="45">
        <v>0</v>
      </c>
      <c r="I41" s="46">
        <v>250</v>
      </c>
      <c r="J41" s="39"/>
      <c r="K41" s="27" t="s">
        <v>76</v>
      </c>
      <c r="L41" s="25"/>
    </row>
    <row r="42" spans="1:12" ht="15.75">
      <c r="A42" s="34"/>
      <c r="B42" s="25"/>
      <c r="C42" s="30"/>
      <c r="D42" s="45">
        <f t="shared" si="3"/>
        <v>42</v>
      </c>
      <c r="E42" s="45">
        <v>0</v>
      </c>
      <c r="F42" s="45"/>
      <c r="G42" s="45"/>
      <c r="H42" s="45">
        <v>0</v>
      </c>
      <c r="I42" s="46">
        <v>42</v>
      </c>
      <c r="J42" s="39"/>
      <c r="K42" s="27" t="s">
        <v>77</v>
      </c>
      <c r="L42" s="25"/>
    </row>
    <row r="43" spans="1:12" ht="35.25" customHeight="1">
      <c r="A43" s="34"/>
      <c r="B43" s="25"/>
      <c r="C43" s="30">
        <v>2018</v>
      </c>
      <c r="D43" s="45">
        <f>E43+H43+I43</f>
        <v>200.5</v>
      </c>
      <c r="E43" s="45">
        <v>0</v>
      </c>
      <c r="F43" s="45"/>
      <c r="G43" s="45"/>
      <c r="H43" s="45">
        <v>0</v>
      </c>
      <c r="I43" s="45">
        <f>200.5</f>
        <v>200.5</v>
      </c>
      <c r="J43" s="39"/>
      <c r="K43" s="27" t="s">
        <v>78</v>
      </c>
      <c r="L43" s="25"/>
    </row>
    <row r="44" spans="1:12" ht="25.5" customHeight="1">
      <c r="A44" s="34"/>
      <c r="B44" s="25"/>
      <c r="C44" s="30"/>
      <c r="D44" s="45">
        <f>I44</f>
        <v>45.969</v>
      </c>
      <c r="E44" s="45">
        <v>0</v>
      </c>
      <c r="F44" s="45"/>
      <c r="G44" s="45"/>
      <c r="H44" s="45">
        <v>0</v>
      </c>
      <c r="I44" s="46">
        <v>45.969</v>
      </c>
      <c r="J44" s="39"/>
      <c r="K44" s="27" t="s">
        <v>74</v>
      </c>
      <c r="L44" s="25"/>
    </row>
    <row r="45" spans="1:12" ht="20.25" customHeight="1">
      <c r="A45" s="34"/>
      <c r="B45" s="25"/>
      <c r="C45" s="30"/>
      <c r="D45" s="45">
        <f>E45+H45+I45</f>
        <v>42</v>
      </c>
      <c r="E45" s="45">
        <v>0</v>
      </c>
      <c r="F45" s="45"/>
      <c r="G45" s="45"/>
      <c r="H45" s="45">
        <v>0</v>
      </c>
      <c r="I45" s="46">
        <v>42</v>
      </c>
      <c r="J45" s="39"/>
      <c r="K45" s="27" t="s">
        <v>77</v>
      </c>
      <c r="L45" s="25"/>
    </row>
    <row r="46" spans="1:12" ht="24.75" customHeight="1">
      <c r="A46" s="34"/>
      <c r="B46" s="25"/>
      <c r="C46" s="30">
        <v>2019</v>
      </c>
      <c r="D46" s="28">
        <f>SUM(E46:I46)</f>
        <v>200.5</v>
      </c>
      <c r="E46" s="28">
        <v>0</v>
      </c>
      <c r="F46" s="28"/>
      <c r="G46" s="28"/>
      <c r="H46" s="28">
        <v>0</v>
      </c>
      <c r="I46" s="28">
        <v>200.5</v>
      </c>
      <c r="J46" s="47"/>
      <c r="K46" s="27" t="s">
        <v>61</v>
      </c>
      <c r="L46" s="25"/>
    </row>
    <row r="47" spans="1:12" ht="19.5" customHeight="1">
      <c r="A47" s="34"/>
      <c r="B47" s="25"/>
      <c r="C47" s="30"/>
      <c r="D47" s="28">
        <f>E47+H47+I47</f>
        <v>42</v>
      </c>
      <c r="E47" s="28">
        <v>0</v>
      </c>
      <c r="F47" s="28"/>
      <c r="G47" s="28"/>
      <c r="H47" s="28">
        <v>0</v>
      </c>
      <c r="I47" s="37">
        <v>42</v>
      </c>
      <c r="J47" s="39"/>
      <c r="K47" s="27" t="s">
        <v>77</v>
      </c>
      <c r="L47" s="25"/>
    </row>
    <row r="48" spans="1:12" ht="24.75">
      <c r="A48" s="34"/>
      <c r="B48" s="25"/>
      <c r="C48" s="30">
        <v>2020</v>
      </c>
      <c r="D48" s="28">
        <f>I48</f>
        <v>200.5</v>
      </c>
      <c r="E48" s="28">
        <v>0</v>
      </c>
      <c r="F48" s="28"/>
      <c r="G48" s="28"/>
      <c r="H48" s="28">
        <v>0</v>
      </c>
      <c r="I48" s="28">
        <v>200.5</v>
      </c>
      <c r="J48" s="39" t="s">
        <v>79</v>
      </c>
      <c r="K48" s="27" t="s">
        <v>61</v>
      </c>
      <c r="L48" s="25"/>
    </row>
    <row r="49" spans="1:12" ht="15.75">
      <c r="A49" s="34"/>
      <c r="B49" s="25"/>
      <c r="C49" s="30"/>
      <c r="D49" s="28">
        <f>E49+H49+I49</f>
        <v>42</v>
      </c>
      <c r="E49" s="28">
        <v>0</v>
      </c>
      <c r="F49" s="28"/>
      <c r="G49" s="28"/>
      <c r="H49" s="28">
        <v>0</v>
      </c>
      <c r="I49" s="37">
        <v>42</v>
      </c>
      <c r="J49" s="39"/>
      <c r="K49" s="27" t="s">
        <v>77</v>
      </c>
      <c r="L49" s="25"/>
    </row>
    <row r="50" spans="1:12" ht="21" customHeight="1">
      <c r="A50" s="34" t="s">
        <v>80</v>
      </c>
      <c r="B50" s="25" t="s">
        <v>81</v>
      </c>
      <c r="C50" s="30">
        <v>2017</v>
      </c>
      <c r="D50" s="28">
        <f>I50</f>
        <v>10</v>
      </c>
      <c r="E50" s="28">
        <v>0</v>
      </c>
      <c r="F50" s="28"/>
      <c r="G50" s="28"/>
      <c r="H50" s="28">
        <v>0</v>
      </c>
      <c r="I50" s="37">
        <v>10</v>
      </c>
      <c r="J50" s="39"/>
      <c r="K50" s="27"/>
      <c r="L50" s="25"/>
    </row>
    <row r="51" spans="1:12" ht="15" customHeight="1">
      <c r="A51" s="34"/>
      <c r="B51" s="25"/>
      <c r="C51" s="30">
        <v>2018</v>
      </c>
      <c r="D51" s="28">
        <f>E51+H51+I51</f>
        <v>3</v>
      </c>
      <c r="E51" s="28">
        <v>0</v>
      </c>
      <c r="F51" s="28"/>
      <c r="G51" s="28"/>
      <c r="H51" s="28">
        <v>0</v>
      </c>
      <c r="I51" s="28">
        <v>3</v>
      </c>
      <c r="J51" s="39"/>
      <c r="K51" s="27" t="s">
        <v>61</v>
      </c>
      <c r="L51" s="40" t="s">
        <v>82</v>
      </c>
    </row>
    <row r="52" spans="1:12" ht="15.75">
      <c r="A52" s="34"/>
      <c r="B52" s="25"/>
      <c r="C52" s="30">
        <v>2019</v>
      </c>
      <c r="D52" s="28">
        <f>SUM(E52:I52)</f>
        <v>3</v>
      </c>
      <c r="E52" s="28">
        <v>0</v>
      </c>
      <c r="F52" s="28"/>
      <c r="G52" s="28"/>
      <c r="H52" s="28">
        <v>0</v>
      </c>
      <c r="I52" s="28">
        <v>3</v>
      </c>
      <c r="J52" s="39"/>
      <c r="K52" s="27"/>
      <c r="L52" s="40"/>
    </row>
    <row r="53" spans="1:12" ht="29.25" customHeight="1">
      <c r="A53" s="34"/>
      <c r="B53" s="25"/>
      <c r="C53" s="30">
        <v>2020</v>
      </c>
      <c r="D53" s="28">
        <f aca="true" t="shared" si="4" ref="D53:D54">I53</f>
        <v>3</v>
      </c>
      <c r="E53" s="28">
        <v>0</v>
      </c>
      <c r="F53" s="28"/>
      <c r="G53" s="28"/>
      <c r="H53" s="28">
        <v>0</v>
      </c>
      <c r="I53" s="28">
        <v>3</v>
      </c>
      <c r="J53" s="39"/>
      <c r="K53" s="27"/>
      <c r="L53" s="40"/>
    </row>
    <row r="54" spans="1:12" ht="15" customHeight="1">
      <c r="A54" s="34" t="s">
        <v>83</v>
      </c>
      <c r="B54" s="25" t="s">
        <v>84</v>
      </c>
      <c r="C54" s="30">
        <v>2017</v>
      </c>
      <c r="D54" s="28">
        <f t="shared" si="4"/>
        <v>5</v>
      </c>
      <c r="E54" s="28">
        <v>0</v>
      </c>
      <c r="F54" s="28"/>
      <c r="G54" s="28"/>
      <c r="H54" s="28">
        <v>0</v>
      </c>
      <c r="I54" s="28">
        <v>5</v>
      </c>
      <c r="J54" s="39"/>
      <c r="K54" s="25" t="s">
        <v>61</v>
      </c>
      <c r="L54" s="25" t="s">
        <v>85</v>
      </c>
    </row>
    <row r="55" spans="1:12" ht="20.25" customHeight="1">
      <c r="A55" s="34"/>
      <c r="B55" s="25"/>
      <c r="C55" s="30">
        <v>2018</v>
      </c>
      <c r="D55" s="28">
        <f aca="true" t="shared" si="5" ref="D55:D56">SUM(E55:I55)</f>
        <v>2</v>
      </c>
      <c r="E55" s="28">
        <v>0</v>
      </c>
      <c r="F55" s="28"/>
      <c r="G55" s="28"/>
      <c r="H55" s="28">
        <v>0</v>
      </c>
      <c r="I55" s="28">
        <v>2</v>
      </c>
      <c r="J55" s="39"/>
      <c r="K55" s="25"/>
      <c r="L55" s="25"/>
    </row>
    <row r="56" spans="1:12" ht="15.75">
      <c r="A56" s="34"/>
      <c r="B56" s="25"/>
      <c r="C56" s="30">
        <v>2019</v>
      </c>
      <c r="D56" s="28">
        <f t="shared" si="5"/>
        <v>2</v>
      </c>
      <c r="E56" s="28">
        <v>0</v>
      </c>
      <c r="F56" s="28"/>
      <c r="G56" s="28"/>
      <c r="H56" s="28">
        <v>0</v>
      </c>
      <c r="I56" s="28">
        <v>2</v>
      </c>
      <c r="J56" s="39"/>
      <c r="K56" s="25"/>
      <c r="L56" s="25"/>
    </row>
    <row r="57" spans="1:12" ht="15.75">
      <c r="A57" s="34"/>
      <c r="B57" s="25"/>
      <c r="C57" s="30">
        <v>2020</v>
      </c>
      <c r="D57" s="28">
        <f aca="true" t="shared" si="6" ref="D57:D58">I57</f>
        <v>2</v>
      </c>
      <c r="E57" s="28">
        <v>0</v>
      </c>
      <c r="F57" s="28"/>
      <c r="G57" s="28"/>
      <c r="H57" s="28">
        <v>0</v>
      </c>
      <c r="I57" s="28">
        <v>2</v>
      </c>
      <c r="J57" s="39"/>
      <c r="K57" s="25"/>
      <c r="L57" s="25"/>
    </row>
    <row r="58" spans="1:12" ht="18" customHeight="1">
      <c r="A58" s="34" t="s">
        <v>86</v>
      </c>
      <c r="B58" s="25" t="s">
        <v>87</v>
      </c>
      <c r="C58" s="30">
        <v>2017</v>
      </c>
      <c r="D58" s="28">
        <f t="shared" si="6"/>
        <v>5</v>
      </c>
      <c r="E58" s="28">
        <v>0</v>
      </c>
      <c r="F58" s="28"/>
      <c r="G58" s="28"/>
      <c r="H58" s="28">
        <v>0</v>
      </c>
      <c r="I58" s="28">
        <v>5</v>
      </c>
      <c r="J58" s="39"/>
      <c r="K58" s="25" t="s">
        <v>61</v>
      </c>
      <c r="L58" s="25" t="s">
        <v>88</v>
      </c>
    </row>
    <row r="59" spans="1:12" ht="15.75" customHeight="1">
      <c r="A59" s="34"/>
      <c r="B59" s="25"/>
      <c r="C59" s="30">
        <v>2018</v>
      </c>
      <c r="D59" s="28">
        <f aca="true" t="shared" si="7" ref="D59:D60">SUM(E59:I59)</f>
        <v>2</v>
      </c>
      <c r="E59" s="28">
        <v>0</v>
      </c>
      <c r="F59" s="28"/>
      <c r="G59" s="28"/>
      <c r="H59" s="28">
        <v>0</v>
      </c>
      <c r="I59" s="28">
        <v>2</v>
      </c>
      <c r="J59" s="39"/>
      <c r="K59" s="25"/>
      <c r="L59" s="25"/>
    </row>
    <row r="60" spans="1:12" ht="15.75">
      <c r="A60" s="34"/>
      <c r="B60" s="25"/>
      <c r="C60" s="30">
        <v>2019</v>
      </c>
      <c r="D60" s="28">
        <f t="shared" si="7"/>
        <v>2</v>
      </c>
      <c r="E60" s="28">
        <v>0</v>
      </c>
      <c r="F60" s="28"/>
      <c r="G60" s="28"/>
      <c r="H60" s="28">
        <v>0</v>
      </c>
      <c r="I60" s="28">
        <v>2</v>
      </c>
      <c r="J60" s="39"/>
      <c r="K60" s="25"/>
      <c r="L60" s="25"/>
    </row>
    <row r="61" spans="1:12" ht="15.75">
      <c r="A61" s="34"/>
      <c r="B61" s="25"/>
      <c r="C61" s="30">
        <v>2020</v>
      </c>
      <c r="D61" s="28">
        <f aca="true" t="shared" si="8" ref="D61:D62">I61</f>
        <v>2</v>
      </c>
      <c r="E61" s="28">
        <v>0</v>
      </c>
      <c r="F61" s="28"/>
      <c r="G61" s="28"/>
      <c r="H61" s="28">
        <v>0</v>
      </c>
      <c r="I61" s="28">
        <v>2</v>
      </c>
      <c r="J61" s="39"/>
      <c r="K61" s="25"/>
      <c r="L61" s="25"/>
    </row>
    <row r="62" spans="1:12" ht="18" customHeight="1">
      <c r="A62" s="48" t="s">
        <v>89</v>
      </c>
      <c r="B62" s="25" t="s">
        <v>90</v>
      </c>
      <c r="C62" s="30">
        <v>2017</v>
      </c>
      <c r="D62" s="28">
        <f t="shared" si="8"/>
        <v>80</v>
      </c>
      <c r="E62" s="28">
        <v>0</v>
      </c>
      <c r="F62" s="28"/>
      <c r="G62" s="28"/>
      <c r="H62" s="28">
        <v>0</v>
      </c>
      <c r="I62" s="28">
        <v>80</v>
      </c>
      <c r="J62" s="39"/>
      <c r="K62" s="25" t="s">
        <v>61</v>
      </c>
      <c r="L62" s="25" t="s">
        <v>91</v>
      </c>
    </row>
    <row r="63" spans="1:12" ht="19.5" customHeight="1">
      <c r="A63" s="48"/>
      <c r="B63" s="25"/>
      <c r="C63" s="30">
        <v>2018</v>
      </c>
      <c r="D63" s="28">
        <f>E63+H63+I63</f>
        <v>50</v>
      </c>
      <c r="E63" s="28">
        <v>0</v>
      </c>
      <c r="F63" s="28"/>
      <c r="G63" s="28"/>
      <c r="H63" s="49">
        <v>0</v>
      </c>
      <c r="I63" s="28">
        <v>50</v>
      </c>
      <c r="J63" s="39"/>
      <c r="K63" s="25"/>
      <c r="L63" s="25"/>
    </row>
    <row r="64" spans="1:12" ht="15.75">
      <c r="A64" s="48"/>
      <c r="B64" s="25"/>
      <c r="C64" s="30">
        <v>2019</v>
      </c>
      <c r="D64" s="28">
        <f aca="true" t="shared" si="9" ref="D64:D66">SUM(E64:I64)</f>
        <v>50</v>
      </c>
      <c r="E64" s="28">
        <v>0</v>
      </c>
      <c r="F64" s="28"/>
      <c r="G64" s="28"/>
      <c r="H64" s="49">
        <v>0</v>
      </c>
      <c r="I64" s="28">
        <v>50</v>
      </c>
      <c r="J64" s="39" t="s">
        <v>79</v>
      </c>
      <c r="K64" s="25"/>
      <c r="L64" s="25"/>
    </row>
    <row r="65" spans="1:12" ht="36" customHeight="1">
      <c r="A65" s="48"/>
      <c r="B65" s="25"/>
      <c r="C65" s="30">
        <v>2020</v>
      </c>
      <c r="D65" s="28">
        <f t="shared" si="9"/>
        <v>50</v>
      </c>
      <c r="E65" s="28">
        <v>0</v>
      </c>
      <c r="F65" s="28"/>
      <c r="G65" s="28"/>
      <c r="H65" s="49">
        <v>0</v>
      </c>
      <c r="I65" s="28">
        <v>50</v>
      </c>
      <c r="J65" s="39"/>
      <c r="K65" s="25"/>
      <c r="L65" s="25"/>
    </row>
    <row r="66" spans="1:12" ht="24" customHeight="1">
      <c r="A66" s="50" t="s">
        <v>92</v>
      </c>
      <c r="B66" s="51" t="s">
        <v>93</v>
      </c>
      <c r="C66" s="52">
        <v>2017</v>
      </c>
      <c r="D66" s="43">
        <f t="shared" si="9"/>
        <v>500</v>
      </c>
      <c r="E66" s="43">
        <v>0</v>
      </c>
      <c r="F66" s="43"/>
      <c r="G66" s="43"/>
      <c r="H66" s="53">
        <v>0</v>
      </c>
      <c r="I66" s="43">
        <v>500</v>
      </c>
      <c r="J66" s="54"/>
      <c r="K66" s="55" t="s">
        <v>94</v>
      </c>
      <c r="L66" s="56" t="s">
        <v>95</v>
      </c>
    </row>
    <row r="67" spans="1:12" ht="15.75">
      <c r="A67" s="50"/>
      <c r="B67" s="51"/>
      <c r="C67" s="52">
        <v>2017</v>
      </c>
      <c r="D67" s="43">
        <f aca="true" t="shared" si="10" ref="D67:D68">I67</f>
        <v>374.024</v>
      </c>
      <c r="E67" s="43">
        <v>0</v>
      </c>
      <c r="F67" s="43"/>
      <c r="G67" s="43"/>
      <c r="H67" s="53">
        <v>0</v>
      </c>
      <c r="I67" s="43">
        <v>374.024</v>
      </c>
      <c r="J67" s="54"/>
      <c r="K67" s="51" t="s">
        <v>96</v>
      </c>
      <c r="L67" s="56"/>
    </row>
    <row r="68" spans="1:12" ht="15.75">
      <c r="A68" s="50"/>
      <c r="B68" s="51"/>
      <c r="C68" s="52">
        <v>2017</v>
      </c>
      <c r="D68" s="43">
        <f t="shared" si="10"/>
        <v>234.9695</v>
      </c>
      <c r="E68" s="43">
        <v>0</v>
      </c>
      <c r="F68" s="43"/>
      <c r="G68" s="43"/>
      <c r="H68" s="53">
        <v>0</v>
      </c>
      <c r="I68" s="43">
        <v>234.9695</v>
      </c>
      <c r="J68" s="54"/>
      <c r="K68" s="51" t="s">
        <v>70</v>
      </c>
      <c r="L68" s="56"/>
    </row>
    <row r="69" spans="1:12" ht="15.75" customHeight="1">
      <c r="A69" s="50"/>
      <c r="B69" s="51"/>
      <c r="C69" s="52">
        <v>2018</v>
      </c>
      <c r="D69" s="43">
        <f>SUM(E69:I69)</f>
        <v>359</v>
      </c>
      <c r="E69" s="43">
        <v>0</v>
      </c>
      <c r="F69" s="43"/>
      <c r="G69" s="43"/>
      <c r="H69" s="53">
        <v>0</v>
      </c>
      <c r="I69" s="43">
        <f aca="true" t="shared" si="11" ref="I69:I70">50+309</f>
        <v>359</v>
      </c>
      <c r="J69" s="54"/>
      <c r="K69" s="57" t="s">
        <v>61</v>
      </c>
      <c r="L69" s="56"/>
    </row>
    <row r="70" spans="1:12" ht="15.75">
      <c r="A70" s="50"/>
      <c r="B70" s="51"/>
      <c r="C70" s="52">
        <v>2019</v>
      </c>
      <c r="D70" s="43">
        <f>I70</f>
        <v>359</v>
      </c>
      <c r="E70" s="43">
        <v>0</v>
      </c>
      <c r="F70" s="43"/>
      <c r="G70" s="43"/>
      <c r="H70" s="53">
        <v>0</v>
      </c>
      <c r="I70" s="43">
        <f t="shared" si="11"/>
        <v>359</v>
      </c>
      <c r="J70" s="54"/>
      <c r="K70" s="57"/>
      <c r="L70" s="56"/>
    </row>
    <row r="71" spans="1:12" ht="21" customHeight="1">
      <c r="A71" s="50"/>
      <c r="B71" s="51"/>
      <c r="C71" s="52">
        <v>2020</v>
      </c>
      <c r="D71" s="43">
        <f>SUM(E71:I71)</f>
        <v>50</v>
      </c>
      <c r="E71" s="43">
        <v>0</v>
      </c>
      <c r="F71" s="43"/>
      <c r="G71" s="43"/>
      <c r="H71" s="53">
        <v>0</v>
      </c>
      <c r="I71" s="43">
        <v>50</v>
      </c>
      <c r="J71" s="54"/>
      <c r="K71" s="57"/>
      <c r="L71" s="56"/>
    </row>
    <row r="72" spans="1:12" ht="21" customHeight="1">
      <c r="A72" s="48" t="s">
        <v>97</v>
      </c>
      <c r="B72" s="25" t="s">
        <v>98</v>
      </c>
      <c r="C72" s="52">
        <v>2017</v>
      </c>
      <c r="D72" s="43">
        <f>I72</f>
        <v>65.8528</v>
      </c>
      <c r="E72" s="43">
        <v>0</v>
      </c>
      <c r="F72" s="43"/>
      <c r="G72" s="43"/>
      <c r="H72" s="53">
        <v>0</v>
      </c>
      <c r="I72" s="43">
        <v>65.8528</v>
      </c>
      <c r="J72" s="54"/>
      <c r="K72" s="27" t="s">
        <v>99</v>
      </c>
      <c r="L72" s="57"/>
    </row>
    <row r="73" spans="1:12" ht="14.25" customHeight="1">
      <c r="A73" s="48"/>
      <c r="B73" s="25"/>
      <c r="C73" s="30">
        <v>2018</v>
      </c>
      <c r="D73" s="43">
        <f aca="true" t="shared" si="12" ref="D73:D74">SUM(E73:I73)</f>
        <v>60</v>
      </c>
      <c r="E73" s="43">
        <v>0</v>
      </c>
      <c r="F73" s="43"/>
      <c r="G73" s="43"/>
      <c r="H73" s="53">
        <v>0</v>
      </c>
      <c r="I73" s="43">
        <v>60</v>
      </c>
      <c r="J73" s="39"/>
      <c r="K73" s="27"/>
      <c r="L73" s="57"/>
    </row>
    <row r="74" spans="1:12" ht="15.75">
      <c r="A74" s="48"/>
      <c r="B74" s="25"/>
      <c r="C74" s="30">
        <v>2019</v>
      </c>
      <c r="D74" s="43">
        <f t="shared" si="12"/>
        <v>60</v>
      </c>
      <c r="E74" s="43">
        <v>0</v>
      </c>
      <c r="F74" s="43"/>
      <c r="G74" s="43"/>
      <c r="H74" s="53">
        <v>0</v>
      </c>
      <c r="I74" s="43">
        <v>60</v>
      </c>
      <c r="J74" s="39"/>
      <c r="K74" s="27"/>
      <c r="L74" s="57"/>
    </row>
    <row r="75" spans="1:12" ht="15.75">
      <c r="A75" s="48"/>
      <c r="B75" s="25"/>
      <c r="C75" s="30">
        <v>2020</v>
      </c>
      <c r="D75" s="43">
        <f aca="true" t="shared" si="13" ref="D75:D88">I75</f>
        <v>60</v>
      </c>
      <c r="E75" s="43">
        <v>0</v>
      </c>
      <c r="F75" s="43"/>
      <c r="G75" s="43"/>
      <c r="H75" s="53">
        <v>0</v>
      </c>
      <c r="I75" s="43">
        <v>60</v>
      </c>
      <c r="J75" s="39"/>
      <c r="K75" s="27"/>
      <c r="L75" s="57"/>
    </row>
    <row r="76" spans="1:12" ht="15.75" customHeight="1">
      <c r="A76" s="48" t="s">
        <v>100</v>
      </c>
      <c r="B76" s="27" t="s">
        <v>101</v>
      </c>
      <c r="C76" s="30">
        <v>2017</v>
      </c>
      <c r="D76" s="37">
        <f t="shared" si="13"/>
        <v>100</v>
      </c>
      <c r="E76" s="37">
        <v>0</v>
      </c>
      <c r="F76" s="37"/>
      <c r="G76" s="37"/>
      <c r="H76" s="58">
        <v>0</v>
      </c>
      <c r="I76" s="37">
        <v>100</v>
      </c>
      <c r="J76" s="39"/>
      <c r="K76" s="32" t="s">
        <v>69</v>
      </c>
      <c r="L76" s="25"/>
    </row>
    <row r="77" spans="1:12" ht="15.75">
      <c r="A77" s="48"/>
      <c r="B77" s="27"/>
      <c r="C77" s="30"/>
      <c r="D77" s="37">
        <f t="shared" si="13"/>
        <v>35</v>
      </c>
      <c r="E77" s="37">
        <v>0</v>
      </c>
      <c r="F77" s="37"/>
      <c r="G77" s="37"/>
      <c r="H77" s="58">
        <v>0</v>
      </c>
      <c r="I77" s="37">
        <v>35</v>
      </c>
      <c r="J77" s="39"/>
      <c r="K77" s="32" t="s">
        <v>74</v>
      </c>
      <c r="L77" s="25"/>
    </row>
    <row r="78" spans="1:12" ht="15.75">
      <c r="A78" s="48"/>
      <c r="B78" s="27"/>
      <c r="C78" s="30">
        <v>2018</v>
      </c>
      <c r="D78" s="37">
        <f t="shared" si="13"/>
        <v>0</v>
      </c>
      <c r="E78" s="37">
        <v>0</v>
      </c>
      <c r="F78" s="37"/>
      <c r="G78" s="37"/>
      <c r="H78" s="58">
        <v>0</v>
      </c>
      <c r="I78" s="37">
        <v>0</v>
      </c>
      <c r="J78" s="39"/>
      <c r="K78" s="32"/>
      <c r="L78" s="25"/>
    </row>
    <row r="79" spans="1:12" ht="15.75">
      <c r="A79" s="48"/>
      <c r="B79" s="27"/>
      <c r="C79" s="30">
        <v>2019</v>
      </c>
      <c r="D79" s="37">
        <f t="shared" si="13"/>
        <v>0</v>
      </c>
      <c r="E79" s="37">
        <v>0</v>
      </c>
      <c r="F79" s="37"/>
      <c r="G79" s="37"/>
      <c r="H79" s="58">
        <v>0</v>
      </c>
      <c r="I79" s="37">
        <v>0</v>
      </c>
      <c r="J79" s="39"/>
      <c r="K79" s="32"/>
      <c r="L79" s="25"/>
    </row>
    <row r="80" spans="1:12" ht="15.75">
      <c r="A80" s="48"/>
      <c r="B80" s="27"/>
      <c r="C80" s="30">
        <v>2020</v>
      </c>
      <c r="D80" s="37">
        <f t="shared" si="13"/>
        <v>0</v>
      </c>
      <c r="E80" s="37">
        <v>0</v>
      </c>
      <c r="F80" s="37"/>
      <c r="G80" s="37"/>
      <c r="H80" s="58">
        <v>0</v>
      </c>
      <c r="I80" s="37">
        <v>0</v>
      </c>
      <c r="J80" s="39"/>
      <c r="K80" s="32"/>
      <c r="L80" s="25"/>
    </row>
    <row r="81" spans="1:12" ht="15.75" customHeight="1">
      <c r="A81" s="48" t="s">
        <v>102</v>
      </c>
      <c r="B81" s="27" t="s">
        <v>103</v>
      </c>
      <c r="C81" s="30">
        <v>2017</v>
      </c>
      <c r="D81" s="37">
        <f t="shared" si="13"/>
        <v>0</v>
      </c>
      <c r="E81" s="37">
        <v>0</v>
      </c>
      <c r="F81" s="37"/>
      <c r="G81" s="37"/>
      <c r="H81" s="58">
        <v>0</v>
      </c>
      <c r="I81" s="37">
        <v>0</v>
      </c>
      <c r="J81" s="39"/>
      <c r="K81" s="32"/>
      <c r="L81" s="25"/>
    </row>
    <row r="82" spans="1:12" ht="15.75">
      <c r="A82" s="48"/>
      <c r="B82" s="27"/>
      <c r="C82" s="30">
        <v>2018</v>
      </c>
      <c r="D82" s="37">
        <f t="shared" si="13"/>
        <v>39.66</v>
      </c>
      <c r="E82" s="37">
        <v>0</v>
      </c>
      <c r="F82" s="37"/>
      <c r="G82" s="37"/>
      <c r="H82" s="58">
        <v>0</v>
      </c>
      <c r="I82" s="37">
        <v>39.66</v>
      </c>
      <c r="J82" s="39"/>
      <c r="K82" s="32" t="s">
        <v>69</v>
      </c>
      <c r="L82" s="25"/>
    </row>
    <row r="83" spans="1:12" ht="15.75">
      <c r="A83" s="48"/>
      <c r="B83" s="27"/>
      <c r="C83" s="30">
        <v>2019</v>
      </c>
      <c r="D83" s="37">
        <f t="shared" si="13"/>
        <v>0</v>
      </c>
      <c r="E83" s="37">
        <v>0</v>
      </c>
      <c r="F83" s="37"/>
      <c r="G83" s="37"/>
      <c r="H83" s="58">
        <v>0</v>
      </c>
      <c r="I83" s="37">
        <v>0</v>
      </c>
      <c r="J83" s="39"/>
      <c r="K83" s="32"/>
      <c r="L83" s="25"/>
    </row>
    <row r="84" spans="1:12" ht="15.75">
      <c r="A84" s="48"/>
      <c r="B84" s="27"/>
      <c r="C84" s="30">
        <v>2020</v>
      </c>
      <c r="D84" s="37">
        <f t="shared" si="13"/>
        <v>0</v>
      </c>
      <c r="E84" s="37">
        <v>0</v>
      </c>
      <c r="F84" s="37"/>
      <c r="G84" s="37"/>
      <c r="H84" s="58">
        <v>0</v>
      </c>
      <c r="I84" s="37">
        <v>0</v>
      </c>
      <c r="J84" s="39"/>
      <c r="K84" s="32"/>
      <c r="L84" s="25"/>
    </row>
    <row r="85" spans="1:12" ht="15.75" customHeight="1">
      <c r="A85" s="59"/>
      <c r="B85" s="60" t="s">
        <v>104</v>
      </c>
      <c r="C85" s="61">
        <v>2017</v>
      </c>
      <c r="D85" s="61">
        <f t="shared" si="13"/>
        <v>2414.4018</v>
      </c>
      <c r="E85" s="61">
        <v>0</v>
      </c>
      <c r="F85" s="61"/>
      <c r="G85" s="61"/>
      <c r="H85" s="61">
        <v>0</v>
      </c>
      <c r="I85" s="61">
        <f>I77+I76+I72+I68+I67+I66+I62+I58+I54+I50+I42+I41+I40+I39+I35+I34+I33+I25+I20+I16+I29</f>
        <v>2414.4018</v>
      </c>
      <c r="J85" s="54"/>
      <c r="K85" s="62"/>
      <c r="L85" s="56"/>
    </row>
    <row r="86" spans="1:12" ht="15.75">
      <c r="A86" s="59"/>
      <c r="B86" s="60"/>
      <c r="C86" s="61">
        <v>2018</v>
      </c>
      <c r="D86" s="61">
        <f t="shared" si="13"/>
        <v>1159.1290000000001</v>
      </c>
      <c r="E86" s="61">
        <f>E17+E21+E26+E30+E36+E43+E45+E51+E55+E59+E63+E66+E67+E68+E73</f>
        <v>0</v>
      </c>
      <c r="F86" s="61"/>
      <c r="G86" s="61"/>
      <c r="H86" s="61">
        <f>H17+H21+H26+H30+H36+H43+H45+H51+H55+H59+H63+H66+H67+H68+H73</f>
        <v>0</v>
      </c>
      <c r="I86" s="61">
        <f>I78+I73+I69+I63+I59+I55+I51+I45+I36+I30+I26+I21+I17+I43+I44+I82</f>
        <v>1159.1290000000001</v>
      </c>
      <c r="J86" s="54"/>
      <c r="K86" s="62"/>
      <c r="L86" s="56"/>
    </row>
    <row r="87" spans="1:12" ht="15.75">
      <c r="A87" s="59"/>
      <c r="B87" s="60"/>
      <c r="C87" s="61">
        <v>2019</v>
      </c>
      <c r="D87" s="61">
        <f t="shared" si="13"/>
        <v>1046.5</v>
      </c>
      <c r="E87" s="61">
        <f>E18+E22+E27+E31+E37+E46+E52+E56+E60+E64+E69+E74</f>
        <v>0</v>
      </c>
      <c r="F87" s="61"/>
      <c r="G87" s="61"/>
      <c r="H87" s="61">
        <f>H18+H22+H27+H31+H37+H46+H52+H56+H60+H64+H69+H74</f>
        <v>0</v>
      </c>
      <c r="I87" s="61">
        <f>I18+I22+I27+I31+I37+I46+I52+I56+I60+I64+I70+I74+I47</f>
        <v>1046.5</v>
      </c>
      <c r="J87" s="54"/>
      <c r="K87" s="62"/>
      <c r="L87" s="56"/>
    </row>
    <row r="88" spans="1:12" ht="15.75">
      <c r="A88" s="59"/>
      <c r="B88" s="60"/>
      <c r="C88" s="61">
        <v>2020</v>
      </c>
      <c r="D88" s="61">
        <f t="shared" si="13"/>
        <v>737.5</v>
      </c>
      <c r="E88" s="61">
        <f>E19+E23+E28+E32+E38+E48+E53+E57+E61+E65+E71+E80</f>
        <v>0</v>
      </c>
      <c r="F88" s="61"/>
      <c r="G88" s="61"/>
      <c r="H88" s="61">
        <f>H19+H23+H28+H32+H38+H48+H53+H57+H61+H65+H71+H80</f>
        <v>0</v>
      </c>
      <c r="I88" s="61">
        <f>I19+I23+I28+I32+I38+I48+I53+I57+I61+I65+I71+I80+I49+I75</f>
        <v>737.5</v>
      </c>
      <c r="J88" s="54"/>
      <c r="K88" s="62"/>
      <c r="L88" s="56"/>
    </row>
    <row r="89" spans="1:12" ht="15" customHeight="1">
      <c r="A89" s="60" t="s">
        <v>105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ht="15" customHeight="1">
      <c r="A90" s="63" t="s">
        <v>48</v>
      </c>
      <c r="B90" s="63" t="s">
        <v>106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5" customHeight="1">
      <c r="A91" s="63" t="s">
        <v>50</v>
      </c>
      <c r="B91" s="63" t="s">
        <v>107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5" customHeight="1">
      <c r="A92" s="51"/>
      <c r="B92" s="51" t="s">
        <v>108</v>
      </c>
      <c r="C92" s="64"/>
      <c r="D92" s="64"/>
      <c r="E92" s="64"/>
      <c r="F92" s="64"/>
      <c r="G92" s="64"/>
      <c r="H92" s="64"/>
      <c r="I92" s="64"/>
      <c r="J92" s="51"/>
      <c r="K92" s="51"/>
      <c r="L92" s="57" t="s">
        <v>109</v>
      </c>
    </row>
    <row r="93" spans="1:12" ht="15" customHeight="1">
      <c r="A93" s="37" t="s">
        <v>110</v>
      </c>
      <c r="B93" s="57" t="s">
        <v>111</v>
      </c>
      <c r="C93" s="65">
        <v>2017</v>
      </c>
      <c r="D93" s="66">
        <f aca="true" t="shared" si="14" ref="D93:D96">I93</f>
        <v>787.715</v>
      </c>
      <c r="E93" s="66">
        <v>0</v>
      </c>
      <c r="F93" s="66"/>
      <c r="G93" s="66"/>
      <c r="H93" s="66">
        <v>0</v>
      </c>
      <c r="I93" s="66">
        <v>787.715</v>
      </c>
      <c r="J93" s="51"/>
      <c r="K93" s="51" t="s">
        <v>112</v>
      </c>
      <c r="L93" s="57"/>
    </row>
    <row r="94" spans="1:12" ht="15" customHeight="1">
      <c r="A94" s="37"/>
      <c r="B94" s="57"/>
      <c r="C94" s="65"/>
      <c r="D94" s="67">
        <f t="shared" si="14"/>
        <v>33.923</v>
      </c>
      <c r="E94" s="67">
        <v>0</v>
      </c>
      <c r="F94" s="67"/>
      <c r="G94" s="67"/>
      <c r="H94" s="67">
        <v>0</v>
      </c>
      <c r="I94" s="67">
        <v>33.923</v>
      </c>
      <c r="J94" s="51"/>
      <c r="K94" s="51" t="s">
        <v>70</v>
      </c>
      <c r="L94" s="57"/>
    </row>
    <row r="95" spans="1:12" ht="15" customHeight="1">
      <c r="A95" s="37"/>
      <c r="B95" s="57"/>
      <c r="C95" s="65">
        <v>2018</v>
      </c>
      <c r="D95" s="68">
        <f t="shared" si="14"/>
        <v>0</v>
      </c>
      <c r="E95" s="68">
        <v>0</v>
      </c>
      <c r="F95" s="68"/>
      <c r="G95" s="68"/>
      <c r="H95" s="68">
        <v>0</v>
      </c>
      <c r="I95" s="68">
        <v>0</v>
      </c>
      <c r="J95" s="51"/>
      <c r="K95" s="51"/>
      <c r="L95" s="57"/>
    </row>
    <row r="96" spans="1:12" ht="15" customHeight="1">
      <c r="A96" s="37"/>
      <c r="B96" s="57"/>
      <c r="C96" s="65">
        <v>2019</v>
      </c>
      <c r="D96" s="68">
        <f t="shared" si="14"/>
        <v>0</v>
      </c>
      <c r="E96" s="68">
        <v>0</v>
      </c>
      <c r="F96" s="68"/>
      <c r="G96" s="68"/>
      <c r="H96" s="68">
        <v>0</v>
      </c>
      <c r="I96" s="68">
        <v>0</v>
      </c>
      <c r="J96" s="51"/>
      <c r="K96" s="51"/>
      <c r="L96" s="57"/>
    </row>
    <row r="97" spans="1:12" ht="15" customHeight="1">
      <c r="A97" s="37"/>
      <c r="B97" s="57"/>
      <c r="C97" s="65">
        <v>2020</v>
      </c>
      <c r="D97" s="68">
        <f>J97</f>
        <v>0</v>
      </c>
      <c r="E97" s="68">
        <v>0</v>
      </c>
      <c r="F97" s="68"/>
      <c r="G97" s="68"/>
      <c r="H97" s="69">
        <v>0</v>
      </c>
      <c r="I97" s="69">
        <v>0</v>
      </c>
      <c r="J97" s="54"/>
      <c r="K97" s="62"/>
      <c r="L97" s="57"/>
    </row>
    <row r="98" spans="1:12" ht="15" customHeight="1">
      <c r="A98" s="37" t="s">
        <v>113</v>
      </c>
      <c r="B98" s="57" t="s">
        <v>114</v>
      </c>
      <c r="C98" s="65">
        <v>2017</v>
      </c>
      <c r="D98" s="66">
        <f aca="true" t="shared" si="15" ref="D98:D117">I98</f>
        <v>1349.864</v>
      </c>
      <c r="E98" s="66">
        <v>0</v>
      </c>
      <c r="F98" s="66"/>
      <c r="G98" s="66"/>
      <c r="H98" s="70">
        <v>0</v>
      </c>
      <c r="I98" s="70">
        <v>1349.864</v>
      </c>
      <c r="J98" s="54"/>
      <c r="K98" s="62" t="s">
        <v>115</v>
      </c>
      <c r="L98" s="57"/>
    </row>
    <row r="99" spans="1:12" ht="15" customHeight="1">
      <c r="A99" s="37"/>
      <c r="B99" s="57"/>
      <c r="C99" s="65">
        <v>2018</v>
      </c>
      <c r="D99" s="71">
        <f t="shared" si="15"/>
        <v>0</v>
      </c>
      <c r="E99" s="71">
        <v>0</v>
      </c>
      <c r="F99" s="71"/>
      <c r="G99" s="71"/>
      <c r="H99" s="72">
        <v>0</v>
      </c>
      <c r="I99" s="72">
        <v>0</v>
      </c>
      <c r="J99" s="54"/>
      <c r="K99" s="62"/>
      <c r="L99" s="57"/>
    </row>
    <row r="100" spans="1:12" ht="15" customHeight="1">
      <c r="A100" s="37"/>
      <c r="B100" s="57"/>
      <c r="C100" s="65">
        <v>2019</v>
      </c>
      <c r="D100" s="71">
        <f t="shared" si="15"/>
        <v>0</v>
      </c>
      <c r="E100" s="71">
        <v>0</v>
      </c>
      <c r="F100" s="71"/>
      <c r="G100" s="71"/>
      <c r="H100" s="72">
        <v>0</v>
      </c>
      <c r="I100" s="72">
        <v>0</v>
      </c>
      <c r="J100" s="54"/>
      <c r="K100" s="62"/>
      <c r="L100" s="57"/>
    </row>
    <row r="101" spans="1:12" ht="30" customHeight="1">
      <c r="A101" s="37"/>
      <c r="B101" s="57"/>
      <c r="C101" s="65">
        <v>2020</v>
      </c>
      <c r="D101" s="71">
        <f t="shared" si="15"/>
        <v>0</v>
      </c>
      <c r="E101" s="71">
        <v>0</v>
      </c>
      <c r="F101" s="71"/>
      <c r="G101" s="71"/>
      <c r="H101" s="72">
        <v>0</v>
      </c>
      <c r="I101" s="72">
        <v>0</v>
      </c>
      <c r="J101" s="54"/>
      <c r="K101" s="62"/>
      <c r="L101" s="57"/>
    </row>
    <row r="102" spans="1:12" ht="15" customHeight="1">
      <c r="A102" s="37" t="s">
        <v>116</v>
      </c>
      <c r="B102" s="57" t="s">
        <v>117</v>
      </c>
      <c r="C102" s="65">
        <v>2017</v>
      </c>
      <c r="D102" s="71">
        <f t="shared" si="15"/>
        <v>85</v>
      </c>
      <c r="E102" s="71">
        <v>0</v>
      </c>
      <c r="F102" s="71"/>
      <c r="G102" s="71"/>
      <c r="H102" s="72">
        <v>0</v>
      </c>
      <c r="I102" s="72">
        <v>85</v>
      </c>
      <c r="J102" s="54"/>
      <c r="K102" s="62" t="s">
        <v>118</v>
      </c>
      <c r="L102" s="57"/>
    </row>
    <row r="103" spans="1:12" ht="15" customHeight="1">
      <c r="A103" s="37"/>
      <c r="B103" s="57"/>
      <c r="C103" s="65">
        <v>2018</v>
      </c>
      <c r="D103" s="71">
        <f t="shared" si="15"/>
        <v>0</v>
      </c>
      <c r="E103" s="71">
        <v>0</v>
      </c>
      <c r="F103" s="71"/>
      <c r="G103" s="71"/>
      <c r="H103" s="72">
        <v>0</v>
      </c>
      <c r="I103" s="72">
        <v>0</v>
      </c>
      <c r="J103" s="54"/>
      <c r="K103" s="62"/>
      <c r="L103" s="57"/>
    </row>
    <row r="104" spans="1:12" ht="15" customHeight="1">
      <c r="A104" s="37"/>
      <c r="B104" s="57"/>
      <c r="C104" s="65">
        <v>2019</v>
      </c>
      <c r="D104" s="71">
        <f t="shared" si="15"/>
        <v>0</v>
      </c>
      <c r="E104" s="71">
        <v>0</v>
      </c>
      <c r="F104" s="71"/>
      <c r="G104" s="71"/>
      <c r="H104" s="72">
        <v>0</v>
      </c>
      <c r="I104" s="72">
        <v>0</v>
      </c>
      <c r="J104" s="54"/>
      <c r="K104" s="62"/>
      <c r="L104" s="57"/>
    </row>
    <row r="105" spans="1:12" ht="15" customHeight="1">
      <c r="A105" s="37"/>
      <c r="B105" s="57"/>
      <c r="C105" s="65">
        <v>2020</v>
      </c>
      <c r="D105" s="71">
        <f t="shared" si="15"/>
        <v>0</v>
      </c>
      <c r="E105" s="71">
        <v>0</v>
      </c>
      <c r="F105" s="71"/>
      <c r="G105" s="71"/>
      <c r="H105" s="72">
        <v>0</v>
      </c>
      <c r="I105" s="72">
        <v>0</v>
      </c>
      <c r="J105" s="54"/>
      <c r="K105" s="62"/>
      <c r="L105" s="57"/>
    </row>
    <row r="106" spans="1:12" ht="15" customHeight="1">
      <c r="A106" s="37" t="s">
        <v>119</v>
      </c>
      <c r="B106" s="57" t="s">
        <v>120</v>
      </c>
      <c r="C106" s="65">
        <v>2017</v>
      </c>
      <c r="D106" s="73">
        <f t="shared" si="15"/>
        <v>338.66955</v>
      </c>
      <c r="E106" s="73">
        <v>0</v>
      </c>
      <c r="F106" s="73"/>
      <c r="G106" s="73"/>
      <c r="H106" s="74">
        <v>0</v>
      </c>
      <c r="I106" s="74">
        <v>338.66955</v>
      </c>
      <c r="J106" s="54"/>
      <c r="K106" s="62" t="s">
        <v>118</v>
      </c>
      <c r="L106" s="57"/>
    </row>
    <row r="107" spans="1:12" ht="15" customHeight="1">
      <c r="A107" s="37"/>
      <c r="B107" s="57"/>
      <c r="C107" s="65"/>
      <c r="D107" s="71">
        <f t="shared" si="15"/>
        <v>227.89</v>
      </c>
      <c r="E107" s="71">
        <v>0</v>
      </c>
      <c r="F107" s="71"/>
      <c r="G107" s="71"/>
      <c r="H107" s="72">
        <v>0</v>
      </c>
      <c r="I107" s="72">
        <v>227.89</v>
      </c>
      <c r="J107" s="54"/>
      <c r="K107" s="62" t="s">
        <v>77</v>
      </c>
      <c r="L107" s="57"/>
    </row>
    <row r="108" spans="1:12" ht="15" customHeight="1">
      <c r="A108" s="37"/>
      <c r="B108" s="57"/>
      <c r="C108" s="65">
        <v>2018</v>
      </c>
      <c r="D108" s="71">
        <f t="shared" si="15"/>
        <v>0</v>
      </c>
      <c r="E108" s="71">
        <v>0</v>
      </c>
      <c r="F108" s="71"/>
      <c r="G108" s="71"/>
      <c r="H108" s="72">
        <v>0</v>
      </c>
      <c r="I108" s="72">
        <v>0</v>
      </c>
      <c r="J108" s="54"/>
      <c r="K108" s="62"/>
      <c r="L108" s="57"/>
    </row>
    <row r="109" spans="1:12" ht="15" customHeight="1">
      <c r="A109" s="37"/>
      <c r="B109" s="57"/>
      <c r="C109" s="65">
        <v>2019</v>
      </c>
      <c r="D109" s="71">
        <f t="shared" si="15"/>
        <v>0</v>
      </c>
      <c r="E109" s="71">
        <v>0</v>
      </c>
      <c r="F109" s="71"/>
      <c r="G109" s="71"/>
      <c r="H109" s="72">
        <v>0</v>
      </c>
      <c r="I109" s="72">
        <v>0</v>
      </c>
      <c r="J109" s="54"/>
      <c r="K109" s="62"/>
      <c r="L109" s="57"/>
    </row>
    <row r="110" spans="1:12" ht="15" customHeight="1">
      <c r="A110" s="37"/>
      <c r="B110" s="57"/>
      <c r="C110" s="65">
        <v>2020</v>
      </c>
      <c r="D110" s="71">
        <f t="shared" si="15"/>
        <v>0</v>
      </c>
      <c r="E110" s="71">
        <v>0</v>
      </c>
      <c r="F110" s="71"/>
      <c r="G110" s="71"/>
      <c r="H110" s="72">
        <v>0</v>
      </c>
      <c r="I110" s="72">
        <v>0</v>
      </c>
      <c r="J110" s="54"/>
      <c r="K110" s="62"/>
      <c r="L110" s="57"/>
    </row>
    <row r="111" spans="1:12" ht="15" customHeight="1">
      <c r="A111" s="37" t="s">
        <v>121</v>
      </c>
      <c r="B111" s="57" t="s">
        <v>122</v>
      </c>
      <c r="C111" s="65">
        <v>2017</v>
      </c>
      <c r="D111" s="71">
        <f t="shared" si="15"/>
        <v>464</v>
      </c>
      <c r="E111" s="71">
        <v>0</v>
      </c>
      <c r="F111" s="71"/>
      <c r="G111" s="71"/>
      <c r="H111" s="72">
        <v>0</v>
      </c>
      <c r="I111" s="72">
        <v>464</v>
      </c>
      <c r="J111" s="54"/>
      <c r="K111" s="62" t="s">
        <v>99</v>
      </c>
      <c r="L111" s="57"/>
    </row>
    <row r="112" spans="1:12" ht="15" customHeight="1">
      <c r="A112" s="37"/>
      <c r="B112" s="57"/>
      <c r="C112" s="65">
        <v>2018</v>
      </c>
      <c r="D112" s="71">
        <f t="shared" si="15"/>
        <v>0</v>
      </c>
      <c r="E112" s="71">
        <v>0</v>
      </c>
      <c r="F112" s="71"/>
      <c r="G112" s="71"/>
      <c r="H112" s="72">
        <v>0</v>
      </c>
      <c r="I112" s="72">
        <v>0</v>
      </c>
      <c r="J112" s="54"/>
      <c r="K112" s="62"/>
      <c r="L112" s="57"/>
    </row>
    <row r="113" spans="1:12" ht="15" customHeight="1">
      <c r="A113" s="37"/>
      <c r="B113" s="57"/>
      <c r="C113" s="65">
        <v>2019</v>
      </c>
      <c r="D113" s="71">
        <f t="shared" si="15"/>
        <v>0</v>
      </c>
      <c r="E113" s="71">
        <v>0</v>
      </c>
      <c r="F113" s="71"/>
      <c r="G113" s="71"/>
      <c r="H113" s="72">
        <v>0</v>
      </c>
      <c r="I113" s="72">
        <v>0</v>
      </c>
      <c r="J113" s="54"/>
      <c r="K113" s="62"/>
      <c r="L113" s="57"/>
    </row>
    <row r="114" spans="1:12" ht="35.25" customHeight="1">
      <c r="A114" s="37"/>
      <c r="B114" s="57"/>
      <c r="C114" s="65">
        <v>2020</v>
      </c>
      <c r="D114" s="71">
        <f t="shared" si="15"/>
        <v>0</v>
      </c>
      <c r="E114" s="71">
        <v>0</v>
      </c>
      <c r="F114" s="71"/>
      <c r="G114" s="71"/>
      <c r="H114" s="72">
        <v>0</v>
      </c>
      <c r="I114" s="72">
        <v>0</v>
      </c>
      <c r="J114" s="54"/>
      <c r="K114" s="62"/>
      <c r="L114" s="57"/>
    </row>
    <row r="115" spans="1:12" s="78" customFormat="1" ht="15" customHeight="1">
      <c r="A115" s="75" t="s">
        <v>123</v>
      </c>
      <c r="B115" s="75" t="s">
        <v>124</v>
      </c>
      <c r="C115" s="65">
        <v>2017</v>
      </c>
      <c r="D115" s="71">
        <f t="shared" si="15"/>
        <v>0</v>
      </c>
      <c r="E115" s="71">
        <v>0</v>
      </c>
      <c r="F115" s="71"/>
      <c r="G115" s="71"/>
      <c r="H115" s="72">
        <v>0</v>
      </c>
      <c r="I115" s="72">
        <v>0</v>
      </c>
      <c r="J115" s="76"/>
      <c r="K115" s="77"/>
      <c r="L115" s="57"/>
    </row>
    <row r="116" spans="1:12" s="78" customFormat="1" ht="17.25" customHeight="1">
      <c r="A116" s="75"/>
      <c r="B116" s="75"/>
      <c r="C116" s="52">
        <v>2018</v>
      </c>
      <c r="D116" s="37">
        <f t="shared" si="15"/>
        <v>200</v>
      </c>
      <c r="E116" s="37">
        <v>0</v>
      </c>
      <c r="F116" s="37"/>
      <c r="G116" s="37"/>
      <c r="H116" s="37">
        <v>0</v>
      </c>
      <c r="I116" s="37">
        <v>200</v>
      </c>
      <c r="J116" s="76"/>
      <c r="K116" s="64" t="s">
        <v>125</v>
      </c>
      <c r="L116" s="57"/>
    </row>
    <row r="117" spans="1:12" s="78" customFormat="1" ht="17.25" customHeight="1">
      <c r="A117" s="75"/>
      <c r="B117" s="75"/>
      <c r="C117" s="52">
        <v>2019</v>
      </c>
      <c r="D117" s="37">
        <f t="shared" si="15"/>
        <v>0</v>
      </c>
      <c r="E117" s="37">
        <v>0</v>
      </c>
      <c r="F117" s="37"/>
      <c r="G117" s="37"/>
      <c r="H117" s="37">
        <v>0</v>
      </c>
      <c r="I117" s="37">
        <v>0</v>
      </c>
      <c r="J117" s="76"/>
      <c r="K117" s="64"/>
      <c r="L117" s="57"/>
    </row>
    <row r="118" spans="1:12" s="78" customFormat="1" ht="15.75">
      <c r="A118" s="75"/>
      <c r="B118" s="75"/>
      <c r="C118" s="52">
        <v>2020</v>
      </c>
      <c r="D118" s="37">
        <f>SUM(E118:I118)</f>
        <v>0</v>
      </c>
      <c r="E118" s="37">
        <v>0</v>
      </c>
      <c r="F118" s="37"/>
      <c r="G118" s="37"/>
      <c r="H118" s="37">
        <v>0</v>
      </c>
      <c r="I118" s="37">
        <v>0</v>
      </c>
      <c r="J118" s="76"/>
      <c r="K118" s="64"/>
      <c r="L118" s="57"/>
    </row>
    <row r="119" spans="1:12" s="78" customFormat="1" ht="23.25" customHeight="1">
      <c r="A119" s="75" t="s">
        <v>126</v>
      </c>
      <c r="B119" s="75" t="s">
        <v>127</v>
      </c>
      <c r="C119" s="52">
        <v>2017</v>
      </c>
      <c r="D119" s="37">
        <f aca="true" t="shared" si="16" ref="D119:D120">I119</f>
        <v>0</v>
      </c>
      <c r="E119" s="37">
        <v>0</v>
      </c>
      <c r="F119" s="37"/>
      <c r="G119" s="37"/>
      <c r="H119" s="37">
        <v>0</v>
      </c>
      <c r="I119" s="37">
        <v>0</v>
      </c>
      <c r="J119" s="76"/>
      <c r="K119" s="64"/>
      <c r="L119" s="57"/>
    </row>
    <row r="120" spans="1:12" s="78" customFormat="1" ht="15" customHeight="1">
      <c r="A120" s="75"/>
      <c r="B120" s="75"/>
      <c r="C120" s="52">
        <v>2018</v>
      </c>
      <c r="D120" s="46">
        <f t="shared" si="16"/>
        <v>2093.592</v>
      </c>
      <c r="E120" s="37">
        <v>0</v>
      </c>
      <c r="F120" s="37"/>
      <c r="G120" s="37"/>
      <c r="H120" s="37">
        <v>0</v>
      </c>
      <c r="I120" s="46">
        <f>2093.592</f>
        <v>2093.592</v>
      </c>
      <c r="J120" s="76"/>
      <c r="K120" s="77" t="s">
        <v>118</v>
      </c>
      <c r="L120" s="57"/>
    </row>
    <row r="121" spans="1:12" s="78" customFormat="1" ht="15" customHeight="1">
      <c r="A121" s="75"/>
      <c r="B121" s="75"/>
      <c r="C121" s="52">
        <v>2019</v>
      </c>
      <c r="D121" s="37">
        <f>E121+H121+I121</f>
        <v>0</v>
      </c>
      <c r="E121" s="37">
        <v>0</v>
      </c>
      <c r="F121" s="37"/>
      <c r="G121" s="37"/>
      <c r="H121" s="37">
        <v>0</v>
      </c>
      <c r="I121" s="37">
        <v>0</v>
      </c>
      <c r="J121" s="76"/>
      <c r="K121" s="77"/>
      <c r="L121" s="57"/>
    </row>
    <row r="122" spans="1:12" s="78" customFormat="1" ht="14.25" customHeight="1">
      <c r="A122" s="75"/>
      <c r="B122" s="75"/>
      <c r="C122" s="52">
        <v>2020</v>
      </c>
      <c r="D122" s="37">
        <f>SUM(E122:I122)</f>
        <v>0</v>
      </c>
      <c r="E122" s="37">
        <v>0</v>
      </c>
      <c r="F122" s="37"/>
      <c r="G122" s="37"/>
      <c r="H122" s="37">
        <v>0</v>
      </c>
      <c r="I122" s="37">
        <v>0</v>
      </c>
      <c r="J122" s="76"/>
      <c r="K122" s="77"/>
      <c r="L122" s="57"/>
    </row>
    <row r="123" spans="1:12" s="78" customFormat="1" ht="21" customHeight="1">
      <c r="A123" s="75" t="s">
        <v>128</v>
      </c>
      <c r="B123" s="75" t="s">
        <v>129</v>
      </c>
      <c r="C123" s="52">
        <v>2017</v>
      </c>
      <c r="D123" s="37">
        <f aca="true" t="shared" si="17" ref="D123:D124">I123</f>
        <v>0</v>
      </c>
      <c r="E123" s="37">
        <v>0</v>
      </c>
      <c r="F123" s="37"/>
      <c r="G123" s="37"/>
      <c r="H123" s="37">
        <v>0</v>
      </c>
      <c r="I123" s="37">
        <v>0</v>
      </c>
      <c r="J123" s="76"/>
      <c r="K123" s="77"/>
      <c r="L123" s="57"/>
    </row>
    <row r="124" spans="1:12" s="78" customFormat="1" ht="21" customHeight="1">
      <c r="A124" s="75"/>
      <c r="B124" s="75"/>
      <c r="C124" s="52">
        <v>2018</v>
      </c>
      <c r="D124" s="37">
        <f t="shared" si="17"/>
        <v>430.48148</v>
      </c>
      <c r="E124" s="37">
        <v>0</v>
      </c>
      <c r="F124" s="37"/>
      <c r="G124" s="37"/>
      <c r="H124" s="37">
        <v>0</v>
      </c>
      <c r="I124" s="75">
        <v>430.48148</v>
      </c>
      <c r="J124" s="76"/>
      <c r="K124" s="64" t="s">
        <v>118</v>
      </c>
      <c r="L124" s="57"/>
    </row>
    <row r="125" spans="1:12" s="78" customFormat="1" ht="15" customHeight="1">
      <c r="A125" s="75"/>
      <c r="B125" s="75"/>
      <c r="C125" s="52">
        <v>2019</v>
      </c>
      <c r="D125" s="37">
        <f aca="true" t="shared" si="18" ref="D125:D126">I125+H125+E125</f>
        <v>0</v>
      </c>
      <c r="E125" s="37">
        <v>0</v>
      </c>
      <c r="F125" s="37"/>
      <c r="G125" s="37"/>
      <c r="H125" s="37">
        <v>0</v>
      </c>
      <c r="I125" s="37">
        <v>0</v>
      </c>
      <c r="J125" s="76"/>
      <c r="K125" s="64"/>
      <c r="L125" s="57"/>
    </row>
    <row r="126" spans="1:12" s="78" customFormat="1" ht="15" customHeight="1">
      <c r="A126" s="75"/>
      <c r="B126" s="75"/>
      <c r="C126" s="52">
        <v>2020</v>
      </c>
      <c r="D126" s="37">
        <f t="shared" si="18"/>
        <v>0</v>
      </c>
      <c r="E126" s="37">
        <v>0</v>
      </c>
      <c r="F126" s="37"/>
      <c r="G126" s="37"/>
      <c r="H126" s="37">
        <v>0</v>
      </c>
      <c r="I126" s="37">
        <v>0</v>
      </c>
      <c r="J126" s="76"/>
      <c r="K126" s="64"/>
      <c r="L126" s="57"/>
    </row>
    <row r="127" spans="1:12" s="78" customFormat="1" ht="17.25" customHeight="1">
      <c r="A127" s="75" t="s">
        <v>130</v>
      </c>
      <c r="B127" s="75" t="s">
        <v>131</v>
      </c>
      <c r="C127" s="52">
        <v>2017</v>
      </c>
      <c r="D127" s="37">
        <f>I127</f>
        <v>0</v>
      </c>
      <c r="E127" s="37">
        <v>0</v>
      </c>
      <c r="F127" s="37"/>
      <c r="G127" s="37"/>
      <c r="H127" s="37">
        <v>0</v>
      </c>
      <c r="I127" s="37">
        <v>0</v>
      </c>
      <c r="J127" s="76"/>
      <c r="K127" s="64"/>
      <c r="L127" s="57"/>
    </row>
    <row r="128" spans="1:12" s="78" customFormat="1" ht="17.25" customHeight="1">
      <c r="A128" s="75"/>
      <c r="B128" s="75"/>
      <c r="C128" s="52">
        <v>2018</v>
      </c>
      <c r="D128" s="37">
        <f aca="true" t="shared" si="19" ref="D128:D130">E128+H128+I128</f>
        <v>700</v>
      </c>
      <c r="E128" s="37">
        <v>0</v>
      </c>
      <c r="F128" s="37"/>
      <c r="G128" s="37"/>
      <c r="H128" s="37">
        <v>0</v>
      </c>
      <c r="I128" s="37">
        <f>700</f>
        <v>700</v>
      </c>
      <c r="J128" s="76"/>
      <c r="K128" s="64" t="s">
        <v>118</v>
      </c>
      <c r="L128" s="57"/>
    </row>
    <row r="129" spans="1:12" s="78" customFormat="1" ht="26.25" customHeight="1">
      <c r="A129" s="75"/>
      <c r="B129" s="75"/>
      <c r="C129" s="52">
        <v>2019</v>
      </c>
      <c r="D129" s="37">
        <f t="shared" si="19"/>
        <v>0</v>
      </c>
      <c r="E129" s="37">
        <v>0</v>
      </c>
      <c r="F129" s="37"/>
      <c r="G129" s="37"/>
      <c r="H129" s="37">
        <v>0</v>
      </c>
      <c r="I129" s="37">
        <v>0</v>
      </c>
      <c r="J129" s="76"/>
      <c r="K129" s="64"/>
      <c r="L129" s="57"/>
    </row>
    <row r="130" spans="1:12" s="78" customFormat="1" ht="21" customHeight="1">
      <c r="A130" s="75"/>
      <c r="B130" s="75"/>
      <c r="C130" s="52">
        <v>2020</v>
      </c>
      <c r="D130" s="37">
        <f t="shared" si="19"/>
        <v>0</v>
      </c>
      <c r="E130" s="37">
        <v>0</v>
      </c>
      <c r="F130" s="37"/>
      <c r="G130" s="37"/>
      <c r="H130" s="37">
        <v>0</v>
      </c>
      <c r="I130" s="37">
        <v>0</v>
      </c>
      <c r="J130" s="76"/>
      <c r="K130" s="64"/>
      <c r="L130" s="57"/>
    </row>
    <row r="131" spans="1:12" s="78" customFormat="1" ht="21" customHeight="1">
      <c r="A131" s="75" t="s">
        <v>132</v>
      </c>
      <c r="B131" s="75" t="s">
        <v>133</v>
      </c>
      <c r="C131" s="52">
        <v>2017</v>
      </c>
      <c r="D131" s="37">
        <f>I131</f>
        <v>0</v>
      </c>
      <c r="E131" s="37">
        <v>0</v>
      </c>
      <c r="F131" s="37"/>
      <c r="G131" s="37"/>
      <c r="H131" s="37">
        <v>0</v>
      </c>
      <c r="I131" s="37">
        <v>0</v>
      </c>
      <c r="J131" s="76"/>
      <c r="K131" s="64"/>
      <c r="L131" s="57"/>
    </row>
    <row r="132" spans="1:12" s="78" customFormat="1" ht="13.5" customHeight="1">
      <c r="A132" s="75"/>
      <c r="B132" s="75"/>
      <c r="C132" s="52">
        <v>2018</v>
      </c>
      <c r="D132" s="37">
        <f aca="true" t="shared" si="20" ref="D132:D134">SUM(E132:I132)</f>
        <v>1600</v>
      </c>
      <c r="E132" s="37">
        <v>0</v>
      </c>
      <c r="F132" s="37"/>
      <c r="G132" s="37"/>
      <c r="H132" s="37">
        <v>0</v>
      </c>
      <c r="I132" s="37">
        <v>1600</v>
      </c>
      <c r="J132" s="76"/>
      <c r="K132" s="77" t="s">
        <v>118</v>
      </c>
      <c r="L132" s="57"/>
    </row>
    <row r="133" spans="1:12" s="78" customFormat="1" ht="15" customHeight="1">
      <c r="A133" s="75"/>
      <c r="B133" s="75"/>
      <c r="C133" s="52">
        <v>2019</v>
      </c>
      <c r="D133" s="37">
        <f t="shared" si="20"/>
        <v>0</v>
      </c>
      <c r="E133" s="37">
        <v>0</v>
      </c>
      <c r="F133" s="37"/>
      <c r="G133" s="37"/>
      <c r="H133" s="37">
        <v>0</v>
      </c>
      <c r="I133" s="37">
        <v>0</v>
      </c>
      <c r="J133" s="76"/>
      <c r="K133" s="77"/>
      <c r="L133" s="57"/>
    </row>
    <row r="134" spans="1:12" s="78" customFormat="1" ht="15.75">
      <c r="A134" s="75"/>
      <c r="B134" s="75"/>
      <c r="C134" s="52">
        <v>2020</v>
      </c>
      <c r="D134" s="37">
        <f t="shared" si="20"/>
        <v>0</v>
      </c>
      <c r="E134" s="37">
        <v>0</v>
      </c>
      <c r="F134" s="37"/>
      <c r="G134" s="37"/>
      <c r="H134" s="37">
        <v>0</v>
      </c>
      <c r="I134" s="37">
        <v>0</v>
      </c>
      <c r="J134" s="76"/>
      <c r="K134" s="77"/>
      <c r="L134" s="57"/>
    </row>
    <row r="135" spans="1:12" s="78" customFormat="1" ht="15.75" customHeight="1">
      <c r="A135" s="75" t="s">
        <v>134</v>
      </c>
      <c r="B135" s="73" t="s">
        <v>135</v>
      </c>
      <c r="C135" s="52">
        <v>2017</v>
      </c>
      <c r="D135" s="37">
        <f aca="true" t="shared" si="21" ref="D135:D142">I135</f>
        <v>0</v>
      </c>
      <c r="E135" s="37">
        <v>0</v>
      </c>
      <c r="F135" s="37"/>
      <c r="G135" s="37"/>
      <c r="H135" s="37">
        <v>0</v>
      </c>
      <c r="I135" s="37">
        <v>0</v>
      </c>
      <c r="J135" s="76"/>
      <c r="K135" s="77"/>
      <c r="L135" s="57"/>
    </row>
    <row r="136" spans="1:12" s="78" customFormat="1" ht="15.75">
      <c r="A136" s="75"/>
      <c r="B136" s="73"/>
      <c r="C136" s="52">
        <v>2018</v>
      </c>
      <c r="D136" s="37">
        <f t="shared" si="21"/>
        <v>280</v>
      </c>
      <c r="E136" s="37">
        <v>0</v>
      </c>
      <c r="F136" s="37"/>
      <c r="G136" s="37"/>
      <c r="H136" s="37">
        <v>0</v>
      </c>
      <c r="I136" s="37">
        <v>280</v>
      </c>
      <c r="J136" s="76"/>
      <c r="K136" s="77" t="s">
        <v>136</v>
      </c>
      <c r="L136" s="57"/>
    </row>
    <row r="137" spans="1:12" s="78" customFormat="1" ht="15.75">
      <c r="A137" s="75"/>
      <c r="B137" s="73"/>
      <c r="C137" s="52">
        <v>2018</v>
      </c>
      <c r="D137" s="37">
        <f t="shared" si="21"/>
        <v>240</v>
      </c>
      <c r="E137" s="37">
        <v>0</v>
      </c>
      <c r="F137" s="37"/>
      <c r="G137" s="37"/>
      <c r="H137" s="37">
        <v>0</v>
      </c>
      <c r="I137" s="37">
        <v>240</v>
      </c>
      <c r="J137" s="76"/>
      <c r="K137" s="77" t="s">
        <v>137</v>
      </c>
      <c r="L137" s="57"/>
    </row>
    <row r="138" spans="1:12" s="78" customFormat="1" ht="15.75">
      <c r="A138" s="75"/>
      <c r="B138" s="73"/>
      <c r="C138" s="52">
        <v>2018</v>
      </c>
      <c r="D138" s="37">
        <f t="shared" si="21"/>
        <v>150</v>
      </c>
      <c r="E138" s="37">
        <v>0</v>
      </c>
      <c r="F138" s="37"/>
      <c r="G138" s="37"/>
      <c r="H138" s="37">
        <v>0</v>
      </c>
      <c r="I138" s="37">
        <v>150</v>
      </c>
      <c r="J138" s="76"/>
      <c r="K138" s="77" t="s">
        <v>115</v>
      </c>
      <c r="L138" s="57"/>
    </row>
    <row r="139" spans="1:12" s="78" customFormat="1" ht="15.75">
      <c r="A139" s="75"/>
      <c r="B139" s="73"/>
      <c r="C139" s="52">
        <v>2018</v>
      </c>
      <c r="D139" s="37">
        <f t="shared" si="21"/>
        <v>320</v>
      </c>
      <c r="E139" s="37">
        <v>0</v>
      </c>
      <c r="F139" s="37"/>
      <c r="G139" s="37"/>
      <c r="H139" s="37">
        <v>0</v>
      </c>
      <c r="I139" s="37">
        <v>320</v>
      </c>
      <c r="J139" s="76"/>
      <c r="K139" s="77" t="s">
        <v>70</v>
      </c>
      <c r="L139" s="57"/>
    </row>
    <row r="140" spans="1:12" s="78" customFormat="1" ht="15.75">
      <c r="A140" s="75"/>
      <c r="B140" s="73"/>
      <c r="C140" s="52">
        <v>2018</v>
      </c>
      <c r="D140" s="37">
        <f t="shared" si="21"/>
        <v>40</v>
      </c>
      <c r="E140" s="37">
        <v>0</v>
      </c>
      <c r="F140" s="37"/>
      <c r="G140" s="37"/>
      <c r="H140" s="37">
        <v>0</v>
      </c>
      <c r="I140" s="37">
        <v>40</v>
      </c>
      <c r="J140" s="76"/>
      <c r="K140" s="77" t="s">
        <v>138</v>
      </c>
      <c r="L140" s="57"/>
    </row>
    <row r="141" spans="1:12" s="78" customFormat="1" ht="15.75">
      <c r="A141" s="75"/>
      <c r="B141" s="73"/>
      <c r="C141" s="52">
        <v>2019</v>
      </c>
      <c r="D141" s="37">
        <f t="shared" si="21"/>
        <v>0</v>
      </c>
      <c r="E141" s="37">
        <v>0</v>
      </c>
      <c r="F141" s="37"/>
      <c r="G141" s="37"/>
      <c r="H141" s="37">
        <v>0</v>
      </c>
      <c r="I141" s="37">
        <v>0</v>
      </c>
      <c r="J141" s="76"/>
      <c r="K141" s="77"/>
      <c r="L141" s="57"/>
    </row>
    <row r="142" spans="1:12" s="78" customFormat="1" ht="15.75">
      <c r="A142" s="75"/>
      <c r="B142" s="73"/>
      <c r="C142" s="52">
        <v>2020</v>
      </c>
      <c r="D142" s="37">
        <f t="shared" si="21"/>
        <v>0</v>
      </c>
      <c r="E142" s="37">
        <v>0</v>
      </c>
      <c r="F142" s="37"/>
      <c r="G142" s="37"/>
      <c r="H142" s="37">
        <v>0</v>
      </c>
      <c r="I142" s="37">
        <v>0</v>
      </c>
      <c r="J142" s="76"/>
      <c r="K142" s="77"/>
      <c r="L142" s="57"/>
    </row>
    <row r="143" spans="1:12" s="78" customFormat="1" ht="15.75" customHeight="1">
      <c r="A143" s="75" t="s">
        <v>139</v>
      </c>
      <c r="B143" s="73" t="s">
        <v>140</v>
      </c>
      <c r="C143" s="52">
        <v>2017</v>
      </c>
      <c r="D143" s="37">
        <f>H143</f>
        <v>0</v>
      </c>
      <c r="E143" s="37">
        <v>0</v>
      </c>
      <c r="F143" s="37"/>
      <c r="G143" s="37"/>
      <c r="H143" s="37">
        <v>0</v>
      </c>
      <c r="I143" s="37">
        <v>0</v>
      </c>
      <c r="J143" s="76"/>
      <c r="K143" s="77"/>
      <c r="L143" s="57"/>
    </row>
    <row r="144" spans="1:12" s="78" customFormat="1" ht="15.75">
      <c r="A144" s="75"/>
      <c r="B144" s="73"/>
      <c r="C144" s="52">
        <v>2018</v>
      </c>
      <c r="D144" s="37">
        <f>H144+I144</f>
        <v>291.78</v>
      </c>
      <c r="E144" s="37">
        <v>0</v>
      </c>
      <c r="F144" s="37"/>
      <c r="G144" s="37"/>
      <c r="H144" s="37">
        <v>0</v>
      </c>
      <c r="I144" s="46">
        <v>291.78</v>
      </c>
      <c r="J144" s="76"/>
      <c r="K144" s="77" t="s">
        <v>70</v>
      </c>
      <c r="L144" s="57"/>
    </row>
    <row r="145" spans="1:12" s="78" customFormat="1" ht="15.75">
      <c r="A145" s="75"/>
      <c r="B145" s="73"/>
      <c r="C145" s="52">
        <v>2019</v>
      </c>
      <c r="D145" s="37">
        <f aca="true" t="shared" si="22" ref="D145:D147">H145</f>
        <v>0</v>
      </c>
      <c r="E145" s="37">
        <v>0</v>
      </c>
      <c r="F145" s="37"/>
      <c r="G145" s="37"/>
      <c r="H145" s="37">
        <v>0</v>
      </c>
      <c r="I145" s="46">
        <v>0</v>
      </c>
      <c r="J145" s="76"/>
      <c r="K145" s="77"/>
      <c r="L145" s="57"/>
    </row>
    <row r="146" spans="1:12" s="78" customFormat="1" ht="15.75">
      <c r="A146" s="75"/>
      <c r="B146" s="73"/>
      <c r="C146" s="52">
        <v>2020</v>
      </c>
      <c r="D146" s="37">
        <f t="shared" si="22"/>
        <v>0</v>
      </c>
      <c r="E146" s="37">
        <v>0</v>
      </c>
      <c r="F146" s="37"/>
      <c r="G146" s="37"/>
      <c r="H146" s="37">
        <v>0</v>
      </c>
      <c r="I146" s="46">
        <v>0</v>
      </c>
      <c r="J146" s="76"/>
      <c r="K146" s="77"/>
      <c r="L146" s="57"/>
    </row>
    <row r="147" spans="1:12" s="78" customFormat="1" ht="15.75" customHeight="1">
      <c r="A147" s="75" t="s">
        <v>141</v>
      </c>
      <c r="B147" s="73" t="s">
        <v>142</v>
      </c>
      <c r="C147" s="52">
        <v>2017</v>
      </c>
      <c r="D147" s="37">
        <f t="shared" si="22"/>
        <v>0</v>
      </c>
      <c r="E147" s="37">
        <v>0</v>
      </c>
      <c r="F147" s="37"/>
      <c r="G147" s="37"/>
      <c r="H147" s="37">
        <v>0</v>
      </c>
      <c r="I147" s="46">
        <v>0</v>
      </c>
      <c r="J147" s="76"/>
      <c r="K147" s="77"/>
      <c r="L147" s="57"/>
    </row>
    <row r="148" spans="1:12" s="78" customFormat="1" ht="15.75">
      <c r="A148" s="75"/>
      <c r="B148" s="73"/>
      <c r="C148" s="52">
        <v>2018</v>
      </c>
      <c r="D148" s="37">
        <f>H148+I148</f>
        <v>797.07</v>
      </c>
      <c r="E148" s="37">
        <v>0</v>
      </c>
      <c r="F148" s="37"/>
      <c r="G148" s="37"/>
      <c r="H148" s="37">
        <v>0</v>
      </c>
      <c r="I148" s="46">
        <v>797.07</v>
      </c>
      <c r="J148" s="76"/>
      <c r="K148" s="77" t="s">
        <v>138</v>
      </c>
      <c r="L148" s="57"/>
    </row>
    <row r="149" spans="1:12" s="78" customFormat="1" ht="15.75">
      <c r="A149" s="75"/>
      <c r="B149" s="73"/>
      <c r="C149" s="52">
        <v>2019</v>
      </c>
      <c r="D149" s="37">
        <f aca="true" t="shared" si="23" ref="D149:D150">H149</f>
        <v>0</v>
      </c>
      <c r="E149" s="37">
        <v>0</v>
      </c>
      <c r="F149" s="37"/>
      <c r="G149" s="37"/>
      <c r="H149" s="37">
        <v>0</v>
      </c>
      <c r="I149" s="37">
        <v>0</v>
      </c>
      <c r="J149" s="76"/>
      <c r="K149" s="77"/>
      <c r="L149" s="57"/>
    </row>
    <row r="150" spans="1:12" s="78" customFormat="1" ht="15.75">
      <c r="A150" s="75"/>
      <c r="B150" s="73"/>
      <c r="C150" s="52">
        <v>2020</v>
      </c>
      <c r="D150" s="37">
        <f t="shared" si="23"/>
        <v>0</v>
      </c>
      <c r="E150" s="37">
        <v>0</v>
      </c>
      <c r="F150" s="37"/>
      <c r="G150" s="37"/>
      <c r="H150" s="37">
        <v>0</v>
      </c>
      <c r="I150" s="37">
        <v>0</v>
      </c>
      <c r="J150" s="76"/>
      <c r="K150" s="77"/>
      <c r="L150" s="57"/>
    </row>
    <row r="151" spans="1:12" s="78" customFormat="1" ht="17.25" customHeight="1">
      <c r="A151" s="79" t="s">
        <v>104</v>
      </c>
      <c r="B151" s="79"/>
      <c r="C151" s="80">
        <v>2017</v>
      </c>
      <c r="D151" s="79">
        <f>I151</f>
        <v>3287.0615500000004</v>
      </c>
      <c r="E151" s="79">
        <v>0</v>
      </c>
      <c r="F151" s="79"/>
      <c r="G151" s="79"/>
      <c r="H151" s="79">
        <v>0</v>
      </c>
      <c r="I151" s="79">
        <f>I111+I107+I106+I102+I98+I94+I93</f>
        <v>3287.0615500000004</v>
      </c>
      <c r="J151" s="76"/>
      <c r="K151" s="77"/>
      <c r="L151" s="57"/>
    </row>
    <row r="152" spans="1:12" s="78" customFormat="1" ht="18" customHeight="1">
      <c r="A152" s="79"/>
      <c r="B152" s="79"/>
      <c r="C152" s="80">
        <v>2018</v>
      </c>
      <c r="D152" s="81">
        <f aca="true" t="shared" si="24" ref="D152:D154">E152+H152+I152</f>
        <v>7142.9234799999995</v>
      </c>
      <c r="E152" s="81">
        <f>E48+E53+E59+E63+E66+E67+E68+E90+E116+E122+E124+E128+E132+E86</f>
        <v>0</v>
      </c>
      <c r="F152" s="81"/>
      <c r="G152" s="81"/>
      <c r="H152" s="81">
        <f>H48+H53+H59+H63+H66+H67+H68+H90+H116+H122+H124+H128+H132+H86</f>
        <v>0</v>
      </c>
      <c r="I152" s="61">
        <f>I116+I120+I124+I128+I132+I117+I136+I137+I139+I140+I138+I144+I148</f>
        <v>7142.9234799999995</v>
      </c>
      <c r="J152" s="76"/>
      <c r="K152" s="77"/>
      <c r="L152" s="75"/>
    </row>
    <row r="153" spans="1:12" s="78" customFormat="1" ht="15.75">
      <c r="A153" s="79"/>
      <c r="B153" s="79"/>
      <c r="C153" s="80">
        <v>2019</v>
      </c>
      <c r="D153" s="81">
        <f t="shared" si="24"/>
        <v>0</v>
      </c>
      <c r="E153" s="81">
        <f>E51+E55+E60+E64+E69+E87+E91+E118+E120+E125+E129+E133</f>
        <v>0</v>
      </c>
      <c r="F153" s="81"/>
      <c r="G153" s="81"/>
      <c r="H153" s="81">
        <f>H51+H55+H60+H64+H69+H87+H91+H118+H120+H125+H129+H133</f>
        <v>0</v>
      </c>
      <c r="I153" s="81">
        <f>I118+I121+I125+I129+I133</f>
        <v>0</v>
      </c>
      <c r="J153" s="76"/>
      <c r="K153" s="77"/>
      <c r="L153" s="82"/>
    </row>
    <row r="154" spans="1:12" s="78" customFormat="1" ht="15.75">
      <c r="A154" s="79"/>
      <c r="B154" s="79"/>
      <c r="C154" s="80">
        <v>2020</v>
      </c>
      <c r="D154" s="81">
        <f t="shared" si="24"/>
        <v>0</v>
      </c>
      <c r="E154" s="81">
        <f>E52+E56+E61+E65+E80+E89+E97+E121+E126+E130+E134</f>
        <v>0</v>
      </c>
      <c r="F154" s="81"/>
      <c r="G154" s="81"/>
      <c r="H154" s="81">
        <f>H52+H56+H61+H65+H80+H89+H97+H121+H126+H130+H134</f>
        <v>0</v>
      </c>
      <c r="I154" s="81">
        <f>I122+I126+I130+I134</f>
        <v>0</v>
      </c>
      <c r="J154" s="76"/>
      <c r="K154" s="77"/>
      <c r="L154" s="82"/>
    </row>
    <row r="155" spans="1:12" s="78" customFormat="1" ht="15.75">
      <c r="A155" s="64"/>
      <c r="B155" s="83"/>
      <c r="C155" s="25"/>
      <c r="D155" s="26"/>
      <c r="E155" s="26"/>
      <c r="F155" s="26"/>
      <c r="G155" s="26"/>
      <c r="H155" s="28"/>
      <c r="I155" s="84"/>
      <c r="J155" s="39"/>
      <c r="K155" s="27"/>
      <c r="L155" s="82"/>
    </row>
    <row r="156" spans="1:12" ht="15.75" customHeight="1">
      <c r="A156" s="85"/>
      <c r="B156" s="25" t="s">
        <v>143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13.5" customHeight="1">
      <c r="A158" s="86" t="s">
        <v>48</v>
      </c>
      <c r="B158" s="87" t="s">
        <v>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5" customHeight="1">
      <c r="A159" s="34" t="s">
        <v>144</v>
      </c>
      <c r="B159" s="25" t="s">
        <v>145</v>
      </c>
      <c r="C159" s="88">
        <v>2017</v>
      </c>
      <c r="D159" s="89">
        <f aca="true" t="shared" si="25" ref="D159:D160">I159</f>
        <v>6500.04975</v>
      </c>
      <c r="E159" s="89">
        <v>0</v>
      </c>
      <c r="F159" s="89"/>
      <c r="G159" s="89"/>
      <c r="H159" s="89">
        <v>0</v>
      </c>
      <c r="I159" s="75">
        <v>6500.04975</v>
      </c>
      <c r="J159" s="32"/>
      <c r="K159" s="25" t="s">
        <v>146</v>
      </c>
      <c r="L159" s="32"/>
    </row>
    <row r="160" spans="1:12" ht="25.5" customHeight="1">
      <c r="A160" s="34"/>
      <c r="B160" s="25"/>
      <c r="C160" s="25">
        <v>2018</v>
      </c>
      <c r="D160" s="89">
        <f t="shared" si="25"/>
        <v>7860.035</v>
      </c>
      <c r="E160" s="89">
        <v>0</v>
      </c>
      <c r="F160" s="89"/>
      <c r="G160" s="89"/>
      <c r="H160" s="89">
        <v>0</v>
      </c>
      <c r="I160" s="75">
        <f>6375.003+22.8+304.575+889.137+268.52</f>
        <v>7860.035</v>
      </c>
      <c r="J160" s="39"/>
      <c r="K160" s="25"/>
      <c r="L160" s="32"/>
    </row>
    <row r="161" spans="1:12" ht="18.75" customHeight="1">
      <c r="A161" s="34"/>
      <c r="B161" s="25"/>
      <c r="C161" s="25">
        <v>2019</v>
      </c>
      <c r="D161" s="89">
        <f aca="true" t="shared" si="26" ref="D161:D162">E161+H161+I161</f>
        <v>6374.903</v>
      </c>
      <c r="E161" s="89">
        <v>0</v>
      </c>
      <c r="F161" s="89"/>
      <c r="G161" s="89"/>
      <c r="H161" s="89">
        <v>0</v>
      </c>
      <c r="I161" s="75">
        <f>6374.903</f>
        <v>6374.903</v>
      </c>
      <c r="J161" s="39"/>
      <c r="K161" s="25"/>
      <c r="L161" s="32"/>
    </row>
    <row r="162" spans="1:12" ht="15.75">
      <c r="A162" s="34"/>
      <c r="B162" s="25"/>
      <c r="C162" s="25">
        <v>2020</v>
      </c>
      <c r="D162" s="89">
        <f t="shared" si="26"/>
        <v>6374.903</v>
      </c>
      <c r="E162" s="89">
        <v>0</v>
      </c>
      <c r="F162" s="89"/>
      <c r="G162" s="89"/>
      <c r="H162" s="89">
        <v>0</v>
      </c>
      <c r="I162" s="75">
        <f>I161</f>
        <v>6374.903</v>
      </c>
      <c r="J162" s="39"/>
      <c r="K162" s="25"/>
      <c r="L162" s="32"/>
    </row>
    <row r="163" spans="1:12" ht="15.75" customHeight="1">
      <c r="A163" s="90" t="s">
        <v>104</v>
      </c>
      <c r="B163" s="90"/>
      <c r="C163" s="90">
        <v>2017</v>
      </c>
      <c r="D163" s="91">
        <f>I163</f>
        <v>6500.04975</v>
      </c>
      <c r="E163" s="91">
        <v>0</v>
      </c>
      <c r="F163" s="91"/>
      <c r="G163" s="91"/>
      <c r="H163" s="91">
        <v>0</v>
      </c>
      <c r="I163" s="79">
        <f aca="true" t="shared" si="27" ref="I163:I166">I159</f>
        <v>6500.04975</v>
      </c>
      <c r="J163" s="39"/>
      <c r="K163" s="25"/>
      <c r="L163" s="32"/>
    </row>
    <row r="164" spans="1:12" ht="15.75">
      <c r="A164" s="90"/>
      <c r="B164" s="90"/>
      <c r="C164" s="90">
        <v>2018</v>
      </c>
      <c r="D164" s="91">
        <f aca="true" t="shared" si="28" ref="D164:D166">E164+H164+I164</f>
        <v>7860.035</v>
      </c>
      <c r="E164" s="91">
        <f>E63+E66+E71+E80+E86+E87+E116+E118+E120+E124+E126+E130+E134+E152+E153+E156+E160</f>
        <v>0</v>
      </c>
      <c r="F164" s="91"/>
      <c r="G164" s="91"/>
      <c r="H164" s="91">
        <f>H63+H66+H71+H80+H86+H87+H116+H118+H120+H124+H126+H130+H134+H152+H153+H156+H160</f>
        <v>0</v>
      </c>
      <c r="I164" s="79">
        <f t="shared" si="27"/>
        <v>7860.035</v>
      </c>
      <c r="J164" s="39"/>
      <c r="K164" s="27"/>
      <c r="L164" s="32"/>
    </row>
    <row r="165" spans="1:12" ht="15.75">
      <c r="A165" s="90"/>
      <c r="B165" s="90"/>
      <c r="C165" s="90">
        <v>2019</v>
      </c>
      <c r="D165" s="91">
        <f t="shared" si="28"/>
        <v>6374.903</v>
      </c>
      <c r="E165" s="91">
        <f>E64+E67+E73+E88+E121+E128+E132+E154+E157+E161</f>
        <v>0</v>
      </c>
      <c r="F165" s="91"/>
      <c r="G165" s="91"/>
      <c r="H165" s="91">
        <f>H64+H67+H73+H88+H121+H128+H132+H154+H157+H161</f>
        <v>0</v>
      </c>
      <c r="I165" s="79">
        <f t="shared" si="27"/>
        <v>6374.903</v>
      </c>
      <c r="J165" s="39"/>
      <c r="K165" s="27"/>
      <c r="L165" s="40"/>
    </row>
    <row r="166" spans="1:12" ht="15.75">
      <c r="A166" s="90"/>
      <c r="B166" s="90"/>
      <c r="C166" s="90">
        <v>2020</v>
      </c>
      <c r="D166" s="91">
        <f t="shared" si="28"/>
        <v>6374.903</v>
      </c>
      <c r="E166" s="91">
        <f>E65+E68+E74+E97+E122+E125+E129+E133+E155+E158+E162</f>
        <v>0</v>
      </c>
      <c r="F166" s="91"/>
      <c r="G166" s="91"/>
      <c r="H166" s="91">
        <f>H65+H68+H74+H97+H122+H125+H129+H133+H155+H158+H162</f>
        <v>0</v>
      </c>
      <c r="I166" s="79">
        <f t="shared" si="27"/>
        <v>6374.903</v>
      </c>
      <c r="J166" s="39"/>
      <c r="K166" s="27"/>
      <c r="L166" s="40"/>
    </row>
    <row r="167" spans="1:12" ht="15.75">
      <c r="A167" s="92"/>
      <c r="B167" s="93"/>
      <c r="C167" s="31"/>
      <c r="D167" s="31"/>
      <c r="E167" s="31"/>
      <c r="F167" s="31"/>
      <c r="G167" s="31"/>
      <c r="H167" s="31"/>
      <c r="I167" s="31"/>
      <c r="J167" s="31"/>
      <c r="K167" s="31"/>
      <c r="L167" s="40"/>
    </row>
    <row r="168" spans="1:12" ht="13.5" customHeight="1">
      <c r="A168" s="31" t="s">
        <v>147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25.5" customHeight="1">
      <c r="A169" s="32" t="s">
        <v>148</v>
      </c>
      <c r="B169" s="25" t="s">
        <v>149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5.75" customHeight="1">
      <c r="A170" s="32"/>
      <c r="B170" s="32"/>
      <c r="C170" s="25">
        <v>2017</v>
      </c>
      <c r="D170" s="89">
        <f>H170+I170</f>
        <v>11181.419240000001</v>
      </c>
      <c r="E170" s="28">
        <v>0</v>
      </c>
      <c r="F170" s="28">
        <f aca="true" t="shared" si="29" ref="F170:F185">G170+H170</f>
        <v>2270.1</v>
      </c>
      <c r="G170" s="28"/>
      <c r="H170" s="75">
        <v>2270.1</v>
      </c>
      <c r="I170" s="75">
        <v>8911.31924</v>
      </c>
      <c r="J170" s="64">
        <v>0</v>
      </c>
      <c r="K170" s="94" t="s">
        <v>136</v>
      </c>
      <c r="L170" s="32"/>
    </row>
    <row r="171" spans="1:12" ht="15.75" customHeight="1">
      <c r="A171" s="25" t="s">
        <v>150</v>
      </c>
      <c r="B171" s="25" t="s">
        <v>136</v>
      </c>
      <c r="C171" s="25">
        <v>2018</v>
      </c>
      <c r="D171" s="89">
        <f>E171+H171+I171+J171</f>
        <v>11501.810679999999</v>
      </c>
      <c r="E171" s="28">
        <v>0</v>
      </c>
      <c r="F171" s="28">
        <f t="shared" si="29"/>
        <v>3003.5</v>
      </c>
      <c r="G171" s="28"/>
      <c r="H171" s="75">
        <f>2896.4-300+407.1</f>
        <v>3003.5</v>
      </c>
      <c r="I171" s="75">
        <f>4512.375+2473.353+462.658+197.12468</f>
        <v>7645.51068</v>
      </c>
      <c r="J171" s="95">
        <f>852.8</f>
        <v>852.8</v>
      </c>
      <c r="K171" s="94"/>
      <c r="L171" s="32"/>
    </row>
    <row r="172" spans="1:12" ht="20.25" customHeight="1">
      <c r="A172" s="25"/>
      <c r="B172" s="25"/>
      <c r="C172" s="25">
        <v>2019</v>
      </c>
      <c r="D172" s="89">
        <f>SUM(H172+I172+J172)</f>
        <v>12460.728000000001</v>
      </c>
      <c r="E172" s="28">
        <v>0</v>
      </c>
      <c r="F172" s="28">
        <f t="shared" si="29"/>
        <v>3039.6</v>
      </c>
      <c r="G172" s="28"/>
      <c r="H172" s="75">
        <v>3039.6</v>
      </c>
      <c r="I172" s="75">
        <f>5703.975+3173.353-309</f>
        <v>8568.328000000001</v>
      </c>
      <c r="J172" s="95">
        <v>852.8</v>
      </c>
      <c r="K172" s="94"/>
      <c r="L172" s="32"/>
    </row>
    <row r="173" spans="1:12" ht="20.25" customHeight="1">
      <c r="A173" s="25"/>
      <c r="B173" s="25"/>
      <c r="C173" s="25">
        <v>2020</v>
      </c>
      <c r="D173" s="89">
        <f aca="true" t="shared" si="30" ref="D173:D177">H173+I173+J173</f>
        <v>12761.228000000001</v>
      </c>
      <c r="E173" s="28">
        <v>0</v>
      </c>
      <c r="F173" s="28">
        <f t="shared" si="29"/>
        <v>3039.6</v>
      </c>
      <c r="G173" s="28"/>
      <c r="H173" s="75">
        <f>H172</f>
        <v>3039.6</v>
      </c>
      <c r="I173" s="75">
        <f>5695.475+3173.353</f>
        <v>8868.828000000001</v>
      </c>
      <c r="J173" s="95">
        <v>852.8</v>
      </c>
      <c r="K173" s="94"/>
      <c r="L173" s="32"/>
    </row>
    <row r="174" spans="1:12" ht="20.25" customHeight="1">
      <c r="A174" s="25" t="s">
        <v>151</v>
      </c>
      <c r="B174" s="25" t="s">
        <v>137</v>
      </c>
      <c r="C174" s="25">
        <v>2017</v>
      </c>
      <c r="D174" s="89">
        <f t="shared" si="30"/>
        <v>19392.76832</v>
      </c>
      <c r="E174" s="28">
        <v>0</v>
      </c>
      <c r="F174" s="28">
        <f t="shared" si="29"/>
        <v>176</v>
      </c>
      <c r="G174" s="28"/>
      <c r="H174" s="75">
        <v>176</v>
      </c>
      <c r="I174" s="75">
        <v>19216.76832</v>
      </c>
      <c r="J174" s="95">
        <v>0</v>
      </c>
      <c r="K174" s="94" t="s">
        <v>137</v>
      </c>
      <c r="L174" s="32"/>
    </row>
    <row r="175" spans="1:12" ht="20.25" customHeight="1">
      <c r="A175" s="25"/>
      <c r="B175" s="25"/>
      <c r="C175" s="25">
        <v>2018</v>
      </c>
      <c r="D175" s="89">
        <f t="shared" si="30"/>
        <v>18931.714</v>
      </c>
      <c r="E175" s="28">
        <v>0</v>
      </c>
      <c r="F175" s="28">
        <f t="shared" si="29"/>
        <v>312.98199999999997</v>
      </c>
      <c r="G175" s="28"/>
      <c r="H175" s="75">
        <f>227.727+85.255</f>
        <v>312.98199999999997</v>
      </c>
      <c r="I175" s="75">
        <f>14823.64+1634.228+566.683</f>
        <v>17024.551</v>
      </c>
      <c r="J175" s="76">
        <v>1594.181</v>
      </c>
      <c r="K175" s="94"/>
      <c r="L175" s="32"/>
    </row>
    <row r="176" spans="1:12" ht="20.25" customHeight="1">
      <c r="A176" s="25"/>
      <c r="B176" s="25"/>
      <c r="C176" s="25">
        <v>2019</v>
      </c>
      <c r="D176" s="89">
        <f t="shared" si="30"/>
        <v>21159.172</v>
      </c>
      <c r="E176" s="28">
        <v>0</v>
      </c>
      <c r="F176" s="28">
        <f t="shared" si="29"/>
        <v>227.727</v>
      </c>
      <c r="G176" s="28"/>
      <c r="H176" s="75">
        <v>227.727</v>
      </c>
      <c r="I176" s="75">
        <f>17303.036+2034.228</f>
        <v>19337.264</v>
      </c>
      <c r="J176" s="76">
        <f aca="true" t="shared" si="31" ref="J176:J177">J175</f>
        <v>1594.181</v>
      </c>
      <c r="K176" s="94"/>
      <c r="L176" s="32"/>
    </row>
    <row r="177" spans="1:12" ht="20.25" customHeight="1">
      <c r="A177" s="25"/>
      <c r="B177" s="25"/>
      <c r="C177" s="25">
        <v>2020</v>
      </c>
      <c r="D177" s="89">
        <f t="shared" si="30"/>
        <v>21125.372</v>
      </c>
      <c r="E177" s="28">
        <v>0</v>
      </c>
      <c r="F177" s="28">
        <f t="shared" si="29"/>
        <v>227.727</v>
      </c>
      <c r="G177" s="28"/>
      <c r="H177" s="75">
        <f>H176</f>
        <v>227.727</v>
      </c>
      <c r="I177" s="75">
        <f>17269.236+2034.228</f>
        <v>19303.464</v>
      </c>
      <c r="J177" s="76">
        <f t="shared" si="31"/>
        <v>1594.181</v>
      </c>
      <c r="K177" s="94"/>
      <c r="L177" s="32"/>
    </row>
    <row r="178" spans="1:12" ht="20.25" customHeight="1">
      <c r="A178" s="25" t="s">
        <v>152</v>
      </c>
      <c r="B178" s="25" t="s">
        <v>69</v>
      </c>
      <c r="C178" s="25">
        <v>2017</v>
      </c>
      <c r="D178" s="89">
        <f>H178+I178</f>
        <v>7571.59784</v>
      </c>
      <c r="E178" s="28">
        <v>0</v>
      </c>
      <c r="F178" s="28">
        <f t="shared" si="29"/>
        <v>2218.895</v>
      </c>
      <c r="G178" s="28"/>
      <c r="H178" s="75">
        <v>2218.895</v>
      </c>
      <c r="I178" s="75">
        <v>5352.70284</v>
      </c>
      <c r="J178" s="76">
        <v>0</v>
      </c>
      <c r="K178" s="94" t="s">
        <v>69</v>
      </c>
      <c r="L178" s="32"/>
    </row>
    <row r="179" spans="1:12" ht="20.25" customHeight="1">
      <c r="A179" s="25"/>
      <c r="B179" s="25"/>
      <c r="C179" s="25">
        <v>2018</v>
      </c>
      <c r="D179" s="89">
        <f>E179+H179+I179+J179</f>
        <v>7747.655000000002</v>
      </c>
      <c r="E179" s="28">
        <v>0</v>
      </c>
      <c r="F179" s="28">
        <f t="shared" si="29"/>
        <v>2617.163</v>
      </c>
      <c r="G179" s="28"/>
      <c r="H179" s="75">
        <f>2317.163+300</f>
        <v>2617.163</v>
      </c>
      <c r="I179" s="75">
        <f>2416.033+1906.281+425.528-249.9</f>
        <v>4497.942000000001</v>
      </c>
      <c r="J179" s="76">
        <v>632.55</v>
      </c>
      <c r="K179" s="94"/>
      <c r="L179" s="32"/>
    </row>
    <row r="180" spans="1:12" ht="20.25" customHeight="1">
      <c r="A180" s="25"/>
      <c r="B180" s="25"/>
      <c r="C180" s="25">
        <v>2019</v>
      </c>
      <c r="D180" s="89">
        <f aca="true" t="shared" si="32" ref="D180:D181">SUM(E180:I180)+J180</f>
        <v>10910.708</v>
      </c>
      <c r="E180" s="28">
        <v>0</v>
      </c>
      <c r="F180" s="28">
        <f t="shared" si="29"/>
        <v>2431.672</v>
      </c>
      <c r="G180" s="28"/>
      <c r="H180" s="75">
        <v>2431.672</v>
      </c>
      <c r="I180" s="75">
        <f>3008.533+2406.281</f>
        <v>5414.814</v>
      </c>
      <c r="J180" s="76">
        <f>J179</f>
        <v>632.55</v>
      </c>
      <c r="K180" s="94"/>
      <c r="L180" s="32"/>
    </row>
    <row r="181" spans="1:12" ht="20.25" customHeight="1">
      <c r="A181" s="25"/>
      <c r="B181" s="25"/>
      <c r="C181" s="25">
        <v>2020</v>
      </c>
      <c r="D181" s="89">
        <f t="shared" si="32"/>
        <v>10903.208</v>
      </c>
      <c r="E181" s="28">
        <v>0</v>
      </c>
      <c r="F181" s="28">
        <f t="shared" si="29"/>
        <v>2431.672</v>
      </c>
      <c r="G181" s="28"/>
      <c r="H181" s="75">
        <f>H180</f>
        <v>2431.672</v>
      </c>
      <c r="I181" s="75">
        <f>3001.033+2406.281</f>
        <v>5407.314</v>
      </c>
      <c r="J181" s="76">
        <f>J179</f>
        <v>632.55</v>
      </c>
      <c r="K181" s="94"/>
      <c r="L181" s="32"/>
    </row>
    <row r="182" spans="1:12" ht="20.25" customHeight="1">
      <c r="A182" s="25" t="s">
        <v>153</v>
      </c>
      <c r="B182" s="25" t="s">
        <v>70</v>
      </c>
      <c r="C182" s="25">
        <v>2017</v>
      </c>
      <c r="D182" s="89">
        <f>H182+I182+J182</f>
        <v>7311.10506</v>
      </c>
      <c r="E182" s="28">
        <v>0</v>
      </c>
      <c r="F182" s="28">
        <f t="shared" si="29"/>
        <v>1796.192</v>
      </c>
      <c r="G182" s="28"/>
      <c r="H182" s="75">
        <v>1796.192</v>
      </c>
      <c r="I182" s="75">
        <v>5514.91306</v>
      </c>
      <c r="J182" s="76">
        <v>0</v>
      </c>
      <c r="K182" s="94" t="s">
        <v>70</v>
      </c>
      <c r="L182" s="32"/>
    </row>
    <row r="183" spans="1:12" ht="20.25" customHeight="1">
      <c r="A183" s="25"/>
      <c r="B183" s="25"/>
      <c r="C183" s="25">
        <v>2018</v>
      </c>
      <c r="D183" s="89">
        <f>E183+H183+I183+J183</f>
        <v>6347.478</v>
      </c>
      <c r="E183" s="28">
        <v>0</v>
      </c>
      <c r="F183" s="28">
        <f t="shared" si="29"/>
        <v>1544.776</v>
      </c>
      <c r="G183" s="28"/>
      <c r="H183" s="75">
        <v>1544.776</v>
      </c>
      <c r="I183" s="75">
        <f>2967.691+1252.257+12.491+384.213</f>
        <v>4616.652</v>
      </c>
      <c r="J183" s="76">
        <v>186.05</v>
      </c>
      <c r="K183" s="94"/>
      <c r="L183" s="32"/>
    </row>
    <row r="184" spans="1:12" ht="20.25" customHeight="1">
      <c r="A184" s="25"/>
      <c r="B184" s="25"/>
      <c r="C184" s="25">
        <v>2019</v>
      </c>
      <c r="D184" s="89">
        <f aca="true" t="shared" si="33" ref="D184:D185">SUM(E184:I184)+J184</f>
        <v>8737.728</v>
      </c>
      <c r="E184" s="28">
        <v>0</v>
      </c>
      <c r="F184" s="28">
        <f t="shared" si="29"/>
        <v>1621.115</v>
      </c>
      <c r="G184" s="28"/>
      <c r="H184" s="75">
        <v>1621.115</v>
      </c>
      <c r="I184" s="75">
        <f>1552.257+3757.191</f>
        <v>5309.448</v>
      </c>
      <c r="J184" s="76">
        <f aca="true" t="shared" si="34" ref="J184:J185">J183</f>
        <v>186.05</v>
      </c>
      <c r="K184" s="94"/>
      <c r="L184" s="32"/>
    </row>
    <row r="185" spans="1:12" ht="20.25" customHeight="1">
      <c r="A185" s="25"/>
      <c r="B185" s="25"/>
      <c r="C185" s="25">
        <v>2020</v>
      </c>
      <c r="D185" s="89">
        <f t="shared" si="33"/>
        <v>8727.428</v>
      </c>
      <c r="E185" s="28">
        <v>0</v>
      </c>
      <c r="F185" s="28">
        <f t="shared" si="29"/>
        <v>1621.115</v>
      </c>
      <c r="G185" s="28"/>
      <c r="H185" s="75">
        <v>1621.115</v>
      </c>
      <c r="I185" s="75">
        <f>3746.891+1552.257</f>
        <v>5299.148</v>
      </c>
      <c r="J185" s="76">
        <f t="shared" si="34"/>
        <v>186.05</v>
      </c>
      <c r="K185" s="94"/>
      <c r="L185" s="32"/>
    </row>
    <row r="186" spans="1:12" ht="15.75" customHeight="1">
      <c r="A186" s="25" t="s">
        <v>154</v>
      </c>
      <c r="B186" s="25" t="s">
        <v>99</v>
      </c>
      <c r="C186" s="25">
        <v>2017</v>
      </c>
      <c r="D186" s="89">
        <f>H186+I186</f>
        <v>1787.53995</v>
      </c>
      <c r="E186" s="28">
        <v>0</v>
      </c>
      <c r="F186" s="28"/>
      <c r="G186" s="28"/>
      <c r="H186" s="37">
        <v>0</v>
      </c>
      <c r="I186" s="75">
        <v>1787.53995</v>
      </c>
      <c r="J186" s="76">
        <v>0</v>
      </c>
      <c r="K186" s="94" t="s">
        <v>99</v>
      </c>
      <c r="L186" s="32"/>
    </row>
    <row r="187" spans="1:12" ht="15.75">
      <c r="A187" s="25"/>
      <c r="B187" s="25"/>
      <c r="C187" s="25">
        <v>2018</v>
      </c>
      <c r="D187" s="89">
        <f>E187+H187+I187+J187</f>
        <v>2004.714</v>
      </c>
      <c r="E187" s="28">
        <v>0</v>
      </c>
      <c r="F187" s="28"/>
      <c r="G187" s="28"/>
      <c r="H187" s="37">
        <v>0</v>
      </c>
      <c r="I187" s="75">
        <f>1396.513+40.091</f>
        <v>1436.6039999999998</v>
      </c>
      <c r="J187" s="76">
        <v>568.11</v>
      </c>
      <c r="K187" s="94"/>
      <c r="L187" s="32"/>
    </row>
    <row r="188" spans="1:12" ht="15.75">
      <c r="A188" s="25"/>
      <c r="B188" s="25"/>
      <c r="C188" s="25">
        <v>2019</v>
      </c>
      <c r="D188" s="89">
        <f>SUM(E188:I188)+J188</f>
        <v>2361.023</v>
      </c>
      <c r="E188" s="28">
        <v>0</v>
      </c>
      <c r="F188" s="28"/>
      <c r="G188" s="28"/>
      <c r="H188" s="37">
        <v>0</v>
      </c>
      <c r="I188" s="75">
        <v>1792.913</v>
      </c>
      <c r="J188" s="76">
        <f aca="true" t="shared" si="35" ref="J188:J189">J187</f>
        <v>568.11</v>
      </c>
      <c r="K188" s="94"/>
      <c r="L188" s="32"/>
    </row>
    <row r="189" spans="1:12" ht="15.75">
      <c r="A189" s="25"/>
      <c r="B189" s="25"/>
      <c r="C189" s="25">
        <v>2020</v>
      </c>
      <c r="D189" s="89">
        <f>SUM(E189:I189)+J190</f>
        <v>1789.313</v>
      </c>
      <c r="E189" s="28">
        <v>0</v>
      </c>
      <c r="F189" s="28"/>
      <c r="G189" s="28"/>
      <c r="H189" s="37">
        <v>0</v>
      </c>
      <c r="I189" s="75">
        <v>1789.313</v>
      </c>
      <c r="J189" s="76">
        <f t="shared" si="35"/>
        <v>568.11</v>
      </c>
      <c r="K189" s="94"/>
      <c r="L189" s="32"/>
    </row>
    <row r="190" spans="1:12" ht="15.75" customHeight="1">
      <c r="A190" s="25" t="s">
        <v>155</v>
      </c>
      <c r="B190" s="25" t="s">
        <v>156</v>
      </c>
      <c r="C190" s="25">
        <v>2017</v>
      </c>
      <c r="D190" s="89">
        <f>H190+I190</f>
        <v>3025.10411</v>
      </c>
      <c r="E190" s="28">
        <v>0</v>
      </c>
      <c r="F190" s="28">
        <f>H190+G190</f>
        <v>1177.145</v>
      </c>
      <c r="G190" s="28"/>
      <c r="H190" s="75">
        <v>1177.145</v>
      </c>
      <c r="I190" s="75">
        <v>1847.95911</v>
      </c>
      <c r="J190" s="76">
        <v>0</v>
      </c>
      <c r="K190" s="96" t="s">
        <v>156</v>
      </c>
      <c r="L190" s="32"/>
    </row>
    <row r="191" spans="1:12" ht="15.75">
      <c r="A191" s="25"/>
      <c r="B191" s="25"/>
      <c r="C191" s="25">
        <v>2018</v>
      </c>
      <c r="D191" s="89">
        <f>E191+H191+I191</f>
        <v>2780.099</v>
      </c>
      <c r="E191" s="28">
        <v>0</v>
      </c>
      <c r="F191" s="28">
        <f aca="true" t="shared" si="36" ref="F191:F197">G191+H191</f>
        <v>1158.582</v>
      </c>
      <c r="G191" s="28"/>
      <c r="H191" s="75">
        <v>1158.582</v>
      </c>
      <c r="I191" s="75">
        <f>872.82+570.23+-95.136+273.603</f>
        <v>1621.5170000000003</v>
      </c>
      <c r="J191" s="76">
        <v>0</v>
      </c>
      <c r="K191" s="96"/>
      <c r="L191" s="32"/>
    </row>
    <row r="192" spans="1:12" ht="15" customHeight="1">
      <c r="A192" s="25"/>
      <c r="B192" s="25"/>
      <c r="C192" s="25">
        <v>2019</v>
      </c>
      <c r="D192" s="89">
        <f aca="true" t="shared" si="37" ref="D192:D193">SUM(E192:I192)</f>
        <v>4274.722</v>
      </c>
      <c r="E192" s="28">
        <v>0</v>
      </c>
      <c r="F192" s="28">
        <f t="shared" si="36"/>
        <v>1215.836</v>
      </c>
      <c r="G192" s="28"/>
      <c r="H192" s="75">
        <v>1215.836</v>
      </c>
      <c r="I192" s="75">
        <f aca="true" t="shared" si="38" ref="I192:I193">670.23+1172.82</f>
        <v>1843.05</v>
      </c>
      <c r="J192" s="76">
        <v>0</v>
      </c>
      <c r="K192" s="96"/>
      <c r="L192" s="32"/>
    </row>
    <row r="193" spans="1:12" ht="15.75">
      <c r="A193" s="25"/>
      <c r="B193" s="25"/>
      <c r="C193" s="25">
        <v>2020</v>
      </c>
      <c r="D193" s="89">
        <f t="shared" si="37"/>
        <v>4274.722</v>
      </c>
      <c r="E193" s="28">
        <v>0</v>
      </c>
      <c r="F193" s="28">
        <f t="shared" si="36"/>
        <v>1215.836</v>
      </c>
      <c r="G193" s="28"/>
      <c r="H193" s="75">
        <v>1215.836</v>
      </c>
      <c r="I193" s="75">
        <f t="shared" si="38"/>
        <v>1843.05</v>
      </c>
      <c r="J193" s="76">
        <v>0</v>
      </c>
      <c r="K193" s="96"/>
      <c r="L193" s="32"/>
    </row>
    <row r="194" spans="1:12" ht="15.75" customHeight="1">
      <c r="A194" s="25" t="s">
        <v>157</v>
      </c>
      <c r="B194" s="25" t="s">
        <v>115</v>
      </c>
      <c r="C194" s="25">
        <v>2017</v>
      </c>
      <c r="D194" s="89">
        <f>H194+I194</f>
        <v>9997.699139999999</v>
      </c>
      <c r="E194" s="28">
        <v>0</v>
      </c>
      <c r="F194" s="28">
        <f t="shared" si="36"/>
        <v>1384.168</v>
      </c>
      <c r="G194" s="28"/>
      <c r="H194" s="75">
        <v>1384.168</v>
      </c>
      <c r="I194" s="75">
        <v>8613.53114</v>
      </c>
      <c r="J194" s="76">
        <v>0</v>
      </c>
      <c r="K194" s="97" t="s">
        <v>115</v>
      </c>
      <c r="L194" s="32"/>
    </row>
    <row r="195" spans="1:12" ht="15.75">
      <c r="A195" s="25"/>
      <c r="B195" s="25"/>
      <c r="C195" s="25">
        <v>2018</v>
      </c>
      <c r="D195" s="89">
        <f>E195+H195+I195+J195</f>
        <v>9268.5773</v>
      </c>
      <c r="E195" s="28">
        <v>0</v>
      </c>
      <c r="F195" s="28">
        <f t="shared" si="36"/>
        <v>1351.679</v>
      </c>
      <c r="G195" s="28"/>
      <c r="H195" s="75">
        <v>1351.679</v>
      </c>
      <c r="I195" s="75">
        <f>6098.603+1066.795-863.572+726.377+30.1953</f>
        <v>7058.3983</v>
      </c>
      <c r="J195" s="76">
        <v>858.5</v>
      </c>
      <c r="K195" s="97"/>
      <c r="L195" s="32"/>
    </row>
    <row r="196" spans="1:12" ht="15.75">
      <c r="A196" s="25"/>
      <c r="B196" s="25"/>
      <c r="C196" s="25">
        <v>2019</v>
      </c>
      <c r="D196" s="89">
        <f>SUM(E196:I196)+J196</f>
        <v>12785.852000000003</v>
      </c>
      <c r="E196" s="28">
        <v>0</v>
      </c>
      <c r="F196" s="28">
        <f t="shared" si="36"/>
        <v>1418.477</v>
      </c>
      <c r="G196" s="28"/>
      <c r="H196" s="75">
        <v>1418.477</v>
      </c>
      <c r="I196" s="75">
        <f>1366.795+7723.603</f>
        <v>9090.398000000001</v>
      </c>
      <c r="J196" s="76">
        <f aca="true" t="shared" si="39" ref="J196:J197">J195</f>
        <v>858.5</v>
      </c>
      <c r="K196" s="97"/>
      <c r="L196" s="32"/>
    </row>
    <row r="197" spans="1:12" ht="15.75">
      <c r="A197" s="25"/>
      <c r="B197" s="25"/>
      <c r="C197" s="25">
        <v>2020</v>
      </c>
      <c r="D197" s="89">
        <f>E197+H197+I197</f>
        <v>10433.875000000002</v>
      </c>
      <c r="E197" s="28">
        <v>0</v>
      </c>
      <c r="F197" s="28">
        <f t="shared" si="36"/>
        <v>1418.477</v>
      </c>
      <c r="G197" s="28"/>
      <c r="H197" s="75">
        <f>H196</f>
        <v>1418.477</v>
      </c>
      <c r="I197" s="75">
        <f>7648.603+1366.795</f>
        <v>9015.398000000001</v>
      </c>
      <c r="J197" s="76">
        <f t="shared" si="39"/>
        <v>858.5</v>
      </c>
      <c r="K197" s="97"/>
      <c r="L197" s="32"/>
    </row>
    <row r="198" spans="1:12" ht="15.75" customHeight="1">
      <c r="A198" s="34" t="s">
        <v>158</v>
      </c>
      <c r="B198" s="25" t="s">
        <v>159</v>
      </c>
      <c r="C198" s="87">
        <v>2017</v>
      </c>
      <c r="D198" s="89">
        <f>I198</f>
        <v>11000</v>
      </c>
      <c r="E198" s="28">
        <v>0</v>
      </c>
      <c r="F198" s="28"/>
      <c r="G198" s="28"/>
      <c r="H198" s="75">
        <v>0</v>
      </c>
      <c r="I198" s="75">
        <v>11000</v>
      </c>
      <c r="J198" s="76">
        <v>0</v>
      </c>
      <c r="K198" s="98"/>
      <c r="L198" s="32"/>
    </row>
    <row r="199" spans="1:12" ht="14.25" customHeight="1">
      <c r="A199" s="34"/>
      <c r="B199" s="25"/>
      <c r="C199" s="87">
        <v>2018</v>
      </c>
      <c r="D199" s="99">
        <v>0</v>
      </c>
      <c r="E199" s="99">
        <v>0</v>
      </c>
      <c r="F199" s="99"/>
      <c r="G199" s="99"/>
      <c r="H199" s="71">
        <v>0</v>
      </c>
      <c r="I199" s="71">
        <v>0</v>
      </c>
      <c r="J199" s="72">
        <v>0</v>
      </c>
      <c r="K199" s="98"/>
      <c r="L199" s="32"/>
    </row>
    <row r="200" spans="1:12" ht="15.75">
      <c r="A200" s="34"/>
      <c r="B200" s="25"/>
      <c r="C200" s="87">
        <v>2019</v>
      </c>
      <c r="D200" s="99">
        <v>0</v>
      </c>
      <c r="E200" s="99">
        <v>0</v>
      </c>
      <c r="F200" s="99"/>
      <c r="G200" s="99"/>
      <c r="H200" s="71">
        <v>0</v>
      </c>
      <c r="I200" s="71">
        <v>0</v>
      </c>
      <c r="J200" s="72">
        <v>0</v>
      </c>
      <c r="K200" s="98"/>
      <c r="L200" s="32"/>
    </row>
    <row r="201" spans="1:12" ht="15.75">
      <c r="A201" s="34"/>
      <c r="B201" s="25"/>
      <c r="C201" s="100">
        <v>2020</v>
      </c>
      <c r="D201" s="101">
        <v>0</v>
      </c>
      <c r="E201" s="101">
        <v>0</v>
      </c>
      <c r="F201" s="101"/>
      <c r="G201" s="101"/>
      <c r="H201" s="102">
        <v>0</v>
      </c>
      <c r="I201" s="103">
        <v>0</v>
      </c>
      <c r="J201" s="101">
        <v>0</v>
      </c>
      <c r="K201" s="98"/>
      <c r="L201" s="32"/>
    </row>
    <row r="202" spans="1:12" ht="15.75" customHeight="1">
      <c r="A202" s="90" t="s">
        <v>104</v>
      </c>
      <c r="B202" s="90"/>
      <c r="C202" s="90">
        <v>2017</v>
      </c>
      <c r="D202" s="91">
        <f>H202+I202</f>
        <v>71267.23366</v>
      </c>
      <c r="E202" s="104">
        <v>0</v>
      </c>
      <c r="F202" s="104">
        <f>H202+G202</f>
        <v>9022.5</v>
      </c>
      <c r="G202" s="104"/>
      <c r="H202" s="79">
        <f>H194+H190+H182+H178+H174+H170</f>
        <v>9022.5</v>
      </c>
      <c r="I202" s="79">
        <f>I194+I190+I186+I182+I178+I174+I170+I198</f>
        <v>62244.73366</v>
      </c>
      <c r="J202" s="72">
        <v>0</v>
      </c>
      <c r="K202" s="97"/>
      <c r="L202" s="32"/>
    </row>
    <row r="203" spans="1:12" ht="15.75">
      <c r="A203" s="90"/>
      <c r="B203" s="90"/>
      <c r="C203" s="90">
        <v>2018</v>
      </c>
      <c r="D203" s="91">
        <f>E203+H203+I203</f>
        <v>53889.856980000004</v>
      </c>
      <c r="E203" s="104">
        <f>E122+E126+E130+E134+E152+E153+E160+E161+E162+E168+E172+E176+E180+E184+E185+E187+E191+E195+E164</f>
        <v>0</v>
      </c>
      <c r="F203" s="104">
        <f aca="true" t="shared" si="40" ref="F203:F204">G203+H203</f>
        <v>9988.682</v>
      </c>
      <c r="G203" s="104"/>
      <c r="H203" s="91">
        <f aca="true" t="shared" si="41" ref="H203:H205">H171+H175+H179+H183+H191+H195</f>
        <v>9988.682</v>
      </c>
      <c r="I203" s="91">
        <f aca="true" t="shared" si="42" ref="I203:I205">I171+I175+I179+I183+I187+I191+I195</f>
        <v>43901.17498</v>
      </c>
      <c r="J203" s="105">
        <f aca="true" t="shared" si="43" ref="J203:J205">J195+J191+J187+J183+J179+J175+J171</f>
        <v>4692.191</v>
      </c>
      <c r="K203" s="27"/>
      <c r="L203" s="32"/>
    </row>
    <row r="204" spans="1:12" ht="15.75">
      <c r="A204" s="90"/>
      <c r="B204" s="90"/>
      <c r="C204" s="90">
        <v>2019</v>
      </c>
      <c r="D204" s="91">
        <f>E204+H204+I204+J204</f>
        <v>66002.83300000001</v>
      </c>
      <c r="E204" s="104">
        <f>E120+E124+E128+E132+E154+E165+E169+E173+E177+E181+E188+E192+E196</f>
        <v>0</v>
      </c>
      <c r="F204" s="104">
        <f t="shared" si="40"/>
        <v>9954.427</v>
      </c>
      <c r="G204" s="104"/>
      <c r="H204" s="91">
        <f t="shared" si="41"/>
        <v>9954.427</v>
      </c>
      <c r="I204" s="79">
        <f t="shared" si="42"/>
        <v>51356.21500000001</v>
      </c>
      <c r="J204" s="105">
        <f t="shared" si="43"/>
        <v>4692.191</v>
      </c>
      <c r="K204" s="27"/>
      <c r="L204" s="40"/>
    </row>
    <row r="205" spans="1:12" ht="15.75">
      <c r="A205" s="90"/>
      <c r="B205" s="90"/>
      <c r="C205" s="90">
        <v>2020</v>
      </c>
      <c r="D205" s="91">
        <f>E205+H205+I205</f>
        <v>61480.94200000001</v>
      </c>
      <c r="E205" s="104">
        <f>E121+E129+E133+E158+E167+E171+E175+E179+E183+E189+E193+E197</f>
        <v>0</v>
      </c>
      <c r="F205" s="104">
        <f>H205+G205</f>
        <v>9954.427</v>
      </c>
      <c r="G205" s="104"/>
      <c r="H205" s="91">
        <f t="shared" si="41"/>
        <v>9954.427</v>
      </c>
      <c r="I205" s="79">
        <f t="shared" si="42"/>
        <v>51526.51500000001</v>
      </c>
      <c r="J205" s="105">
        <f t="shared" si="43"/>
        <v>4692.191</v>
      </c>
      <c r="K205" s="27"/>
      <c r="L205" s="40"/>
    </row>
    <row r="206" spans="1:12" ht="15.75">
      <c r="A206" s="32"/>
      <c r="B206" s="93"/>
      <c r="C206" s="106"/>
      <c r="D206" s="106"/>
      <c r="E206" s="106"/>
      <c r="F206" s="106"/>
      <c r="G206" s="106"/>
      <c r="H206" s="106"/>
      <c r="I206" s="106"/>
      <c r="J206" s="106"/>
      <c r="K206" s="106"/>
      <c r="L206" s="40"/>
    </row>
    <row r="207" spans="1:12" ht="14.25" customHeight="1">
      <c r="A207" s="106" t="s">
        <v>160</v>
      </c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6"/>
    </row>
    <row r="208" spans="1:12" ht="15.75">
      <c r="A208" s="39" t="s">
        <v>48</v>
      </c>
      <c r="B208" s="107" t="s">
        <v>161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7"/>
    </row>
    <row r="209" spans="1:12" ht="28.5" customHeight="1" hidden="1">
      <c r="A209" s="3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1:12" ht="21" customHeight="1">
      <c r="A210" s="110" t="s">
        <v>162</v>
      </c>
      <c r="B210" s="110" t="s">
        <v>163</v>
      </c>
      <c r="C210" s="41">
        <v>2017</v>
      </c>
      <c r="D210" s="99">
        <f>H210</f>
        <v>16.3</v>
      </c>
      <c r="E210" s="99">
        <v>0</v>
      </c>
      <c r="F210" s="99"/>
      <c r="G210" s="99"/>
      <c r="H210" s="99">
        <v>16.3</v>
      </c>
      <c r="I210" s="111">
        <v>0</v>
      </c>
      <c r="J210" s="111">
        <v>0</v>
      </c>
      <c r="K210" s="108"/>
      <c r="L210" s="108"/>
    </row>
    <row r="211" spans="1:12" ht="18.75" customHeight="1">
      <c r="A211" s="110"/>
      <c r="B211" s="110"/>
      <c r="C211" s="25">
        <v>2018</v>
      </c>
      <c r="D211" s="28">
        <f aca="true" t="shared" si="44" ref="D211:D213">SUM(E211:I211)</f>
        <v>16.2</v>
      </c>
      <c r="E211" s="104">
        <v>0</v>
      </c>
      <c r="F211" s="104"/>
      <c r="G211" s="104"/>
      <c r="H211" s="37">
        <v>16.2</v>
      </c>
      <c r="I211" s="28">
        <v>0</v>
      </c>
      <c r="J211" s="28">
        <v>0</v>
      </c>
      <c r="K211" s="112"/>
      <c r="L211" s="108"/>
    </row>
    <row r="212" spans="1:12" ht="15.75">
      <c r="A212" s="110"/>
      <c r="B212" s="110"/>
      <c r="C212" s="25">
        <v>2019</v>
      </c>
      <c r="D212" s="28">
        <f t="shared" si="44"/>
        <v>16.2</v>
      </c>
      <c r="E212" s="104">
        <v>0</v>
      </c>
      <c r="F212" s="104"/>
      <c r="G212" s="104"/>
      <c r="H212" s="37">
        <v>16.2</v>
      </c>
      <c r="I212" s="28">
        <v>0</v>
      </c>
      <c r="J212" s="28">
        <v>0</v>
      </c>
      <c r="K212" s="112"/>
      <c r="L212" s="32"/>
    </row>
    <row r="213" spans="1:12" ht="15.75">
      <c r="A213" s="110"/>
      <c r="B213" s="110"/>
      <c r="C213" s="25">
        <v>2020</v>
      </c>
      <c r="D213" s="28">
        <f t="shared" si="44"/>
        <v>16.2</v>
      </c>
      <c r="E213" s="104">
        <v>0</v>
      </c>
      <c r="F213" s="104"/>
      <c r="G213" s="104"/>
      <c r="H213" s="37">
        <v>16.2</v>
      </c>
      <c r="I213" s="28">
        <v>0</v>
      </c>
      <c r="J213" s="28">
        <v>0</v>
      </c>
      <c r="K213" s="112"/>
      <c r="L213" s="32"/>
    </row>
    <row r="214" spans="1:12" ht="14.25" customHeight="1">
      <c r="A214" s="90" t="s">
        <v>104</v>
      </c>
      <c r="B214" s="90"/>
      <c r="C214" s="90">
        <v>2017</v>
      </c>
      <c r="D214" s="104">
        <f>H214</f>
        <v>16.3</v>
      </c>
      <c r="E214" s="104">
        <v>0</v>
      </c>
      <c r="F214" s="104"/>
      <c r="G214" s="104"/>
      <c r="H214" s="81">
        <f aca="true" t="shared" si="45" ref="H214:H215">H210</f>
        <v>16.3</v>
      </c>
      <c r="I214" s="28">
        <v>0</v>
      </c>
      <c r="J214" s="28">
        <v>0</v>
      </c>
      <c r="K214" s="112"/>
      <c r="L214" s="32"/>
    </row>
    <row r="215" spans="1:12" ht="15.75">
      <c r="A215" s="90"/>
      <c r="B215" s="90"/>
      <c r="C215" s="90">
        <v>2018</v>
      </c>
      <c r="D215" s="104">
        <f aca="true" t="shared" si="46" ref="D215:D217">E215+H215+I215</f>
        <v>16.2</v>
      </c>
      <c r="E215" s="104">
        <f>E129+E133+E154+E157+E161+E162+E164+E171+E172+E173+E180+E184+E188+E192+E196+E197+E203+E206+E211+E175</f>
        <v>0</v>
      </c>
      <c r="F215" s="104"/>
      <c r="G215" s="104"/>
      <c r="H215" s="104">
        <f t="shared" si="45"/>
        <v>16.2</v>
      </c>
      <c r="I215" s="104">
        <v>0</v>
      </c>
      <c r="J215" s="113">
        <v>0</v>
      </c>
      <c r="K215" s="27"/>
      <c r="L215" s="32"/>
    </row>
    <row r="216" spans="1:12" ht="15.75">
      <c r="A216" s="90"/>
      <c r="B216" s="90"/>
      <c r="C216" s="90">
        <v>2019</v>
      </c>
      <c r="D216" s="104">
        <f t="shared" si="46"/>
        <v>16.6</v>
      </c>
      <c r="E216" s="104">
        <f>E130+E134+E155+E158+E165+E176+E181+E185+E189+E193+E204+E207+E212</f>
        <v>0</v>
      </c>
      <c r="F216" s="104"/>
      <c r="G216" s="104"/>
      <c r="H216" s="104">
        <f aca="true" t="shared" si="47" ref="H216:H217">16.6</f>
        <v>16.6</v>
      </c>
      <c r="I216" s="104">
        <f aca="true" t="shared" si="48" ref="I216:I217">I212</f>
        <v>0</v>
      </c>
      <c r="J216" s="113">
        <v>0</v>
      </c>
      <c r="K216" s="27"/>
      <c r="L216" s="40"/>
    </row>
    <row r="217" spans="1:12" ht="15.75">
      <c r="A217" s="90"/>
      <c r="B217" s="90"/>
      <c r="C217" s="90">
        <v>2020</v>
      </c>
      <c r="D217" s="104">
        <f t="shared" si="46"/>
        <v>16.6</v>
      </c>
      <c r="E217" s="104">
        <f>E132+E152+E156+E160+E169+E179+E183+E187+E191+E195+E205+E208+E213</f>
        <v>0</v>
      </c>
      <c r="F217" s="104"/>
      <c r="G217" s="104"/>
      <c r="H217" s="104">
        <f t="shared" si="47"/>
        <v>16.6</v>
      </c>
      <c r="I217" s="104">
        <f t="shared" si="48"/>
        <v>0</v>
      </c>
      <c r="J217" s="113">
        <v>0</v>
      </c>
      <c r="K217" s="27"/>
      <c r="L217" s="40"/>
    </row>
    <row r="218" spans="1:12" ht="15.75" customHeight="1">
      <c r="A218" s="90" t="s">
        <v>164</v>
      </c>
      <c r="B218" s="90"/>
      <c r="C218" s="90">
        <v>2017</v>
      </c>
      <c r="D218" s="91">
        <f>I218+H218</f>
        <v>83485.04676000001</v>
      </c>
      <c r="E218" s="104">
        <v>0</v>
      </c>
      <c r="F218" s="104">
        <f>H218+G218</f>
        <v>9038.8</v>
      </c>
      <c r="G218" s="104"/>
      <c r="H218" s="91">
        <f>H202+H214</f>
        <v>9038.8</v>
      </c>
      <c r="I218" s="91">
        <f>I214+I202+I163+I151+I85</f>
        <v>74446.24676000001</v>
      </c>
      <c r="J218" s="113">
        <v>0</v>
      </c>
      <c r="K218" s="27"/>
      <c r="L218" s="40"/>
    </row>
    <row r="219" spans="1:12" ht="14.25" customHeight="1">
      <c r="A219" s="90"/>
      <c r="B219" s="90"/>
      <c r="C219" s="90">
        <v>2018</v>
      </c>
      <c r="D219" s="91">
        <f>E219+H219+I219+J219</f>
        <v>74760.33546</v>
      </c>
      <c r="E219" s="104">
        <f>SUM(E17+E21+E26+E30+E36+E43+E51+E55+E59+E63+E66+E73+E116+E120+E124+E132+E160+E171+E175+E179+E183+E187+E191+E195+E211)</f>
        <v>0</v>
      </c>
      <c r="F219" s="104">
        <f aca="true" t="shared" si="49" ref="F219:F220">G219+H219</f>
        <v>10004.882000000001</v>
      </c>
      <c r="G219" s="104"/>
      <c r="H219" s="91">
        <f>SUM(H17+H21+H26+H30+H36+H43+H51+H55+H59+H63+H66+H73+H116+H120+H124+H132+H160+H171+H175+H179+H183+H187+H191+H195+H211)</f>
        <v>10004.882000000001</v>
      </c>
      <c r="I219" s="91">
        <f aca="true" t="shared" si="50" ref="I219:I221">I203+I164+I152+I86</f>
        <v>60063.26246</v>
      </c>
      <c r="J219" s="91">
        <f aca="true" t="shared" si="51" ref="J219:J221">J203</f>
        <v>4692.191</v>
      </c>
      <c r="K219" s="114"/>
      <c r="L219" s="40"/>
    </row>
    <row r="220" spans="1:12" ht="15.75">
      <c r="A220" s="90"/>
      <c r="B220" s="90"/>
      <c r="C220" s="90">
        <v>2019</v>
      </c>
      <c r="D220" s="79">
        <f aca="true" t="shared" si="52" ref="D220:D221">H220+I220+J220</f>
        <v>73440.83600000001</v>
      </c>
      <c r="E220" s="104">
        <f>SUM(E18+E22+E27+E31+E37+E46+E52+E56+E60+E64+E69+E74+E118+E121+E125+E133+E161+E172+E176+E180+E184+E188+E192+E196+E212)</f>
        <v>0</v>
      </c>
      <c r="F220" s="104">
        <f t="shared" si="49"/>
        <v>9971.027</v>
      </c>
      <c r="G220" s="104"/>
      <c r="H220" s="91">
        <f aca="true" t="shared" si="53" ref="H220:H221">H204+H216</f>
        <v>9971.027</v>
      </c>
      <c r="I220" s="91">
        <f t="shared" si="50"/>
        <v>58777.61800000001</v>
      </c>
      <c r="J220" s="91">
        <f t="shared" si="51"/>
        <v>4692.191</v>
      </c>
      <c r="K220" s="112"/>
      <c r="L220" s="32"/>
    </row>
    <row r="221" spans="1:12" ht="15.75">
      <c r="A221" s="90"/>
      <c r="B221" s="90"/>
      <c r="C221" s="90">
        <v>2020</v>
      </c>
      <c r="D221" s="79">
        <f t="shared" si="52"/>
        <v>73302.13600000001</v>
      </c>
      <c r="E221" s="104">
        <f>SUM(E19+E23+E28+E32+E38+E48+E53+E57+E61+E65+E71+E80+E122+E126+E134+E162+E173+E177+E181+E185+E189+E193+E197+E213)</f>
        <v>0</v>
      </c>
      <c r="F221" s="104">
        <f>H221+G221</f>
        <v>9971.027</v>
      </c>
      <c r="G221" s="104"/>
      <c r="H221" s="91">
        <f t="shared" si="53"/>
        <v>9971.027</v>
      </c>
      <c r="I221" s="91">
        <f t="shared" si="50"/>
        <v>58638.918000000005</v>
      </c>
      <c r="J221" s="91">
        <f t="shared" si="51"/>
        <v>4692.191</v>
      </c>
      <c r="K221" s="114"/>
      <c r="L221" s="32"/>
    </row>
    <row r="222" spans="1:12" ht="15.75">
      <c r="A222" s="90"/>
      <c r="B222" s="90"/>
      <c r="C222" s="115" t="s">
        <v>165</v>
      </c>
      <c r="D222" s="91">
        <f>F222+I222+J222</f>
        <v>304988.35422</v>
      </c>
      <c r="E222" s="104">
        <f>SUM(E219:E221)</f>
        <v>0</v>
      </c>
      <c r="F222" s="104">
        <f>G222+H222</f>
        <v>38985.736000000004</v>
      </c>
      <c r="G222" s="104"/>
      <c r="H222" s="91">
        <f>H218+H219+H220+H221</f>
        <v>38985.736000000004</v>
      </c>
      <c r="I222" s="91">
        <f>I218+I219+I220+I221</f>
        <v>251926.04522000003</v>
      </c>
      <c r="J222" s="91">
        <f>J221+J220+J219</f>
        <v>14076.573</v>
      </c>
      <c r="K222" s="112"/>
      <c r="L222" s="32"/>
    </row>
    <row r="223" spans="1:12" ht="15.75">
      <c r="A223" s="90"/>
      <c r="B223" s="90"/>
      <c r="C223" s="116"/>
      <c r="D223" s="117"/>
      <c r="E223" s="116"/>
      <c r="F223" s="116"/>
      <c r="G223" s="116"/>
      <c r="H223" s="118"/>
      <c r="I223" s="116"/>
      <c r="J223" s="116"/>
      <c r="K223" s="116"/>
      <c r="L223" s="32"/>
    </row>
    <row r="224" ht="15.75">
      <c r="C224" s="119"/>
    </row>
  </sheetData>
  <sheetProtection selectLockedCells="1" selectUnlockedCells="1"/>
  <mergeCells count="160">
    <mergeCell ref="K1:L1"/>
    <mergeCell ref="K2:L2"/>
    <mergeCell ref="K3:L3"/>
    <mergeCell ref="K4:L4"/>
    <mergeCell ref="A6:L6"/>
    <mergeCell ref="A7:A11"/>
    <mergeCell ref="B7:B11"/>
    <mergeCell ref="C7:C11"/>
    <mergeCell ref="D7:D11"/>
    <mergeCell ref="E7:I7"/>
    <mergeCell ref="J7:J11"/>
    <mergeCell ref="K7:K11"/>
    <mergeCell ref="L7:L11"/>
    <mergeCell ref="F8:I8"/>
    <mergeCell ref="E9:E11"/>
    <mergeCell ref="F9:H9"/>
    <mergeCell ref="I9:I11"/>
    <mergeCell ref="F10:F11"/>
    <mergeCell ref="G10:H10"/>
    <mergeCell ref="A13:L13"/>
    <mergeCell ref="B14:L14"/>
    <mergeCell ref="B15:L15"/>
    <mergeCell ref="A16:A19"/>
    <mergeCell ref="B16:B19"/>
    <mergeCell ref="K16:K19"/>
    <mergeCell ref="L16:L19"/>
    <mergeCell ref="A20:A24"/>
    <mergeCell ref="K20:K24"/>
    <mergeCell ref="L21:L24"/>
    <mergeCell ref="C23:C24"/>
    <mergeCell ref="D23:D24"/>
    <mergeCell ref="E23:E24"/>
    <mergeCell ref="H23:H24"/>
    <mergeCell ref="I23:I24"/>
    <mergeCell ref="J23:J24"/>
    <mergeCell ref="A25:A28"/>
    <mergeCell ref="B25:B28"/>
    <mergeCell ref="K25:K28"/>
    <mergeCell ref="L25:L28"/>
    <mergeCell ref="A29:A32"/>
    <mergeCell ref="B29:B32"/>
    <mergeCell ref="K29:K32"/>
    <mergeCell ref="L30:L32"/>
    <mergeCell ref="A33:A38"/>
    <mergeCell ref="B33:B38"/>
    <mergeCell ref="C33:C35"/>
    <mergeCell ref="L36:L38"/>
    <mergeCell ref="A39:A49"/>
    <mergeCell ref="B39:B49"/>
    <mergeCell ref="C39:C42"/>
    <mergeCell ref="L39:L48"/>
    <mergeCell ref="C43:C45"/>
    <mergeCell ref="C46:C47"/>
    <mergeCell ref="C48:C49"/>
    <mergeCell ref="A50:A53"/>
    <mergeCell ref="B50:B53"/>
    <mergeCell ref="K51:K53"/>
    <mergeCell ref="L51:L53"/>
    <mergeCell ref="A54:A57"/>
    <mergeCell ref="B54:B57"/>
    <mergeCell ref="K54:K57"/>
    <mergeCell ref="L54:L57"/>
    <mergeCell ref="A58:A61"/>
    <mergeCell ref="B58:B61"/>
    <mergeCell ref="K58:K61"/>
    <mergeCell ref="L58:L61"/>
    <mergeCell ref="A62:A65"/>
    <mergeCell ref="B62:B65"/>
    <mergeCell ref="K62:K65"/>
    <mergeCell ref="L62:L65"/>
    <mergeCell ref="A66:A71"/>
    <mergeCell ref="B66:B71"/>
    <mergeCell ref="L66:L71"/>
    <mergeCell ref="K69:K71"/>
    <mergeCell ref="A72:A75"/>
    <mergeCell ref="B72:B75"/>
    <mergeCell ref="K72:K75"/>
    <mergeCell ref="L72:L75"/>
    <mergeCell ref="A76:A80"/>
    <mergeCell ref="B76:B80"/>
    <mergeCell ref="C76:C77"/>
    <mergeCell ref="L76:L80"/>
    <mergeCell ref="A81:A84"/>
    <mergeCell ref="B81:B84"/>
    <mergeCell ref="L81:L84"/>
    <mergeCell ref="A85:A88"/>
    <mergeCell ref="B85:B88"/>
    <mergeCell ref="A89:L89"/>
    <mergeCell ref="B90:L90"/>
    <mergeCell ref="B91:L91"/>
    <mergeCell ref="L92:L151"/>
    <mergeCell ref="A93:A97"/>
    <mergeCell ref="B93:B97"/>
    <mergeCell ref="C93:C94"/>
    <mergeCell ref="A98:A101"/>
    <mergeCell ref="B98:B101"/>
    <mergeCell ref="A102:A105"/>
    <mergeCell ref="B102:B105"/>
    <mergeCell ref="A106:A110"/>
    <mergeCell ref="B106:B110"/>
    <mergeCell ref="C106:C107"/>
    <mergeCell ref="A111:A114"/>
    <mergeCell ref="B111:B114"/>
    <mergeCell ref="A115:A118"/>
    <mergeCell ref="B115:B118"/>
    <mergeCell ref="A119:A122"/>
    <mergeCell ref="B119:B122"/>
    <mergeCell ref="K120:K122"/>
    <mergeCell ref="A123:A126"/>
    <mergeCell ref="B123:B126"/>
    <mergeCell ref="A127:A130"/>
    <mergeCell ref="B127:B130"/>
    <mergeCell ref="A131:A134"/>
    <mergeCell ref="B131:B134"/>
    <mergeCell ref="K132:K134"/>
    <mergeCell ref="A135:A142"/>
    <mergeCell ref="B135:B142"/>
    <mergeCell ref="A143:A146"/>
    <mergeCell ref="B143:B146"/>
    <mergeCell ref="A147:A150"/>
    <mergeCell ref="B147:B150"/>
    <mergeCell ref="A151:B154"/>
    <mergeCell ref="B156:L156"/>
    <mergeCell ref="A157:L157"/>
    <mergeCell ref="B158:L158"/>
    <mergeCell ref="A159:A162"/>
    <mergeCell ref="B159:B162"/>
    <mergeCell ref="K159:K162"/>
    <mergeCell ref="A163:B166"/>
    <mergeCell ref="A168:K168"/>
    <mergeCell ref="B169:L169"/>
    <mergeCell ref="K170:K173"/>
    <mergeCell ref="A171:A173"/>
    <mergeCell ref="B171:B173"/>
    <mergeCell ref="A174:A177"/>
    <mergeCell ref="B174:B177"/>
    <mergeCell ref="K174:K177"/>
    <mergeCell ref="A178:A181"/>
    <mergeCell ref="B178:B181"/>
    <mergeCell ref="K178:K181"/>
    <mergeCell ref="A182:A185"/>
    <mergeCell ref="B182:B185"/>
    <mergeCell ref="K182:K185"/>
    <mergeCell ref="A186:A189"/>
    <mergeCell ref="B186:B189"/>
    <mergeCell ref="K186:K189"/>
    <mergeCell ref="A190:A193"/>
    <mergeCell ref="B190:B193"/>
    <mergeCell ref="K190:K193"/>
    <mergeCell ref="A194:A197"/>
    <mergeCell ref="B194:B197"/>
    <mergeCell ref="K194:K197"/>
    <mergeCell ref="A198:A201"/>
    <mergeCell ref="B198:B201"/>
    <mergeCell ref="A202:B205"/>
    <mergeCell ref="B209:L209"/>
    <mergeCell ref="A210:A213"/>
    <mergeCell ref="B210:B213"/>
    <mergeCell ref="A214:B217"/>
    <mergeCell ref="A218:B223"/>
  </mergeCells>
  <printOptions/>
  <pageMargins left="0.8659722222222223" right="0.7083333333333334" top="0" bottom="0" header="0.5118055555555555" footer="0.5118055555555555"/>
  <pageSetup fitToHeight="4" fitToWidth="1" horizontalDpi="300" verticalDpi="300" orientation="landscape" paperSize="9"/>
  <rowBreaks count="3" manualBreakCount="3">
    <brk id="42" max="255" man="1"/>
    <brk id="120" max="255" man="1"/>
    <brk id="1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SheetLayoutView="100" workbookViewId="0" topLeftCell="A1">
      <selection activeCell="T26" sqref="T26"/>
    </sheetView>
  </sheetViews>
  <sheetFormatPr defaultColWidth="8.0039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9.00390625" style="0" hidden="1" customWidth="1"/>
    <col min="7" max="7" width="8.28125" style="0" customWidth="1"/>
    <col min="8" max="8" width="11.28125" style="0" customWidth="1"/>
    <col min="9" max="9" width="10.00390625" style="0" customWidth="1"/>
    <col min="10" max="10" width="9.00390625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9.00390625" style="0" hidden="1" customWidth="1"/>
    <col min="21" max="21" width="21.7109375" style="0" customWidth="1"/>
    <col min="22" max="22" width="26.28125" style="0" customWidth="1"/>
    <col min="23" max="16384" width="9.00390625" style="0" customWidth="1"/>
  </cols>
  <sheetData>
    <row r="1" spans="2:22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U1" s="21"/>
      <c r="V1" s="21"/>
    </row>
    <row r="2" spans="2:22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U2" s="21"/>
      <c r="V2" s="21"/>
    </row>
    <row r="3" spans="2:22" ht="15.75">
      <c r="B3" s="1"/>
      <c r="C3" s="1"/>
      <c r="D3" s="1"/>
      <c r="E3" s="1"/>
      <c r="F3" s="1"/>
      <c r="G3" s="1"/>
      <c r="H3" s="1"/>
      <c r="I3" s="1"/>
      <c r="J3" s="1"/>
      <c r="K3" s="2"/>
      <c r="L3" s="2"/>
      <c r="U3" s="21"/>
      <c r="V3" s="21"/>
    </row>
    <row r="4" spans="1:22" ht="15.75">
      <c r="A4" s="21"/>
      <c r="B4" s="3"/>
      <c r="C4" s="3"/>
      <c r="D4" s="3"/>
      <c r="E4" s="4"/>
      <c r="F4" s="3"/>
      <c r="G4" s="3"/>
      <c r="H4" s="3"/>
      <c r="I4" s="3"/>
      <c r="J4" s="5"/>
      <c r="K4" s="2"/>
      <c r="L4" s="2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4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4.25">
      <c r="A6" s="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ht="17.25">
      <c r="E7" s="120" t="s">
        <v>166</v>
      </c>
    </row>
    <row r="8" spans="1:22" ht="38.25" customHeight="1">
      <c r="A8" s="25" t="s">
        <v>5</v>
      </c>
      <c r="B8" s="25" t="s">
        <v>37</v>
      </c>
      <c r="C8" s="25" t="s">
        <v>7</v>
      </c>
      <c r="D8" s="25" t="s">
        <v>167</v>
      </c>
      <c r="E8" s="25" t="s">
        <v>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 t="s">
        <v>40</v>
      </c>
      <c r="Q8" s="32"/>
      <c r="R8" s="32"/>
      <c r="S8" s="32"/>
      <c r="T8" s="32"/>
      <c r="U8" s="25" t="s">
        <v>168</v>
      </c>
      <c r="V8" s="25" t="s">
        <v>42</v>
      </c>
    </row>
    <row r="9" spans="1:22" ht="19.5" customHeight="1">
      <c r="A9" s="25"/>
      <c r="B9" s="25"/>
      <c r="C9" s="25"/>
      <c r="D9" s="25"/>
      <c r="E9" s="25" t="s">
        <v>43</v>
      </c>
      <c r="F9" s="25"/>
      <c r="G9" s="25" t="s">
        <v>169</v>
      </c>
      <c r="H9" s="25"/>
      <c r="I9" s="25"/>
      <c r="J9" s="25"/>
      <c r="K9" s="25"/>
      <c r="L9" s="25"/>
      <c r="M9" s="25"/>
      <c r="N9" s="25"/>
      <c r="O9" s="25"/>
      <c r="P9" s="25"/>
      <c r="Q9" s="32"/>
      <c r="R9" s="32"/>
      <c r="S9" s="32"/>
      <c r="T9" s="32"/>
      <c r="U9" s="25"/>
      <c r="V9" s="25"/>
    </row>
    <row r="10" spans="1:22" ht="30" customHeight="1">
      <c r="A10" s="25"/>
      <c r="B10" s="25"/>
      <c r="C10" s="25"/>
      <c r="D10" s="25"/>
      <c r="E10" s="25"/>
      <c r="F10" s="32" t="s">
        <v>44</v>
      </c>
      <c r="G10" s="25" t="s">
        <v>44</v>
      </c>
      <c r="H10" s="25"/>
      <c r="I10" s="25"/>
      <c r="J10" s="25"/>
      <c r="K10" s="32"/>
      <c r="L10" s="32"/>
      <c r="M10" s="32"/>
      <c r="N10" s="32"/>
      <c r="O10" s="25" t="s">
        <v>45</v>
      </c>
      <c r="P10" s="25"/>
      <c r="Q10" s="32" t="s">
        <v>41</v>
      </c>
      <c r="R10" s="32"/>
      <c r="S10" s="32"/>
      <c r="T10" s="32"/>
      <c r="U10" s="25"/>
      <c r="V10" s="25"/>
    </row>
    <row r="11" spans="1:22" ht="30" customHeight="1">
      <c r="A11" s="25"/>
      <c r="B11" s="25"/>
      <c r="C11" s="25"/>
      <c r="D11" s="25"/>
      <c r="E11" s="25"/>
      <c r="F11" s="32"/>
      <c r="G11" s="25" t="s">
        <v>17</v>
      </c>
      <c r="H11" s="25" t="s">
        <v>39</v>
      </c>
      <c r="I11" s="25"/>
      <c r="J11" s="25"/>
      <c r="K11" s="32"/>
      <c r="L11" s="32"/>
      <c r="M11" s="32"/>
      <c r="N11" s="32"/>
      <c r="O11" s="25"/>
      <c r="P11" s="25"/>
      <c r="Q11" s="32"/>
      <c r="R11" s="32"/>
      <c r="S11" s="32"/>
      <c r="T11" s="32"/>
      <c r="U11" s="25"/>
      <c r="V11" s="25"/>
    </row>
    <row r="12" spans="1:22" ht="57" customHeight="1">
      <c r="A12" s="25"/>
      <c r="B12" s="25"/>
      <c r="C12" s="25"/>
      <c r="D12" s="25"/>
      <c r="E12" s="25"/>
      <c r="F12" s="32"/>
      <c r="G12" s="25"/>
      <c r="H12" s="88" t="s">
        <v>19</v>
      </c>
      <c r="I12" s="88" t="s">
        <v>20</v>
      </c>
      <c r="J12" s="32"/>
      <c r="K12" s="32"/>
      <c r="L12" s="32"/>
      <c r="M12" s="32"/>
      <c r="N12" s="32"/>
      <c r="O12" s="25"/>
      <c r="P12" s="25"/>
      <c r="Q12" s="121"/>
      <c r="R12" s="121"/>
      <c r="S12" s="121"/>
      <c r="T12" s="121"/>
      <c r="U12" s="25"/>
      <c r="V12" s="25"/>
    </row>
    <row r="13" spans="1:22" ht="14.2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122">
        <v>6</v>
      </c>
      <c r="G13" s="123">
        <v>6</v>
      </c>
      <c r="H13" s="123">
        <v>7</v>
      </c>
      <c r="I13" s="123">
        <v>8</v>
      </c>
      <c r="J13" s="124"/>
      <c r="K13" s="124"/>
      <c r="L13" s="124"/>
      <c r="M13" s="124"/>
      <c r="N13" s="125"/>
      <c r="O13" s="88">
        <v>9</v>
      </c>
      <c r="P13" s="88">
        <v>10</v>
      </c>
      <c r="Q13" s="88">
        <v>11</v>
      </c>
      <c r="R13" s="88"/>
      <c r="S13" s="88"/>
      <c r="T13" s="88"/>
      <c r="U13" s="88"/>
      <c r="V13" s="88">
        <v>12</v>
      </c>
    </row>
    <row r="14" spans="1:22" ht="18" customHeight="1">
      <c r="A14" s="126" t="s">
        <v>170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22" s="127" customFormat="1" ht="27.75" customHeight="1">
      <c r="A15" s="27" t="s">
        <v>171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26.25" customHeight="1">
      <c r="A16" s="27" t="s">
        <v>172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6.25" customHeight="1">
      <c r="A17" s="25" t="s">
        <v>21</v>
      </c>
      <c r="B17" s="25" t="s">
        <v>173</v>
      </c>
      <c r="C17" s="25">
        <v>2017</v>
      </c>
      <c r="D17" s="45">
        <f>O17</f>
        <v>25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>
        <v>25</v>
      </c>
      <c r="P17" s="27"/>
      <c r="Q17" s="27"/>
      <c r="R17" s="27"/>
      <c r="S17" s="27"/>
      <c r="T17" s="27"/>
      <c r="U17" s="25" t="s">
        <v>61</v>
      </c>
      <c r="V17" s="25" t="s">
        <v>174</v>
      </c>
    </row>
    <row r="18" spans="1:22" ht="26.25" customHeight="1">
      <c r="A18" s="25"/>
      <c r="B18" s="25"/>
      <c r="C18" s="25">
        <v>2018</v>
      </c>
      <c r="D18" s="45">
        <v>25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45">
        <f aca="true" t="shared" si="0" ref="O18:O20">D18</f>
        <v>25</v>
      </c>
      <c r="P18" s="32"/>
      <c r="Q18" s="32"/>
      <c r="R18" s="32" t="s">
        <v>175</v>
      </c>
      <c r="S18" s="32"/>
      <c r="T18" s="32"/>
      <c r="U18" s="25"/>
      <c r="V18" s="25"/>
    </row>
    <row r="19" spans="1:22" ht="14.25">
      <c r="A19" s="25"/>
      <c r="B19" s="25"/>
      <c r="C19" s="25">
        <v>2019</v>
      </c>
      <c r="D19" s="45">
        <v>25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45">
        <f t="shared" si="0"/>
        <v>25</v>
      </c>
      <c r="P19" s="32"/>
      <c r="Q19" s="32"/>
      <c r="R19" s="121"/>
      <c r="S19" s="121"/>
      <c r="T19" s="121"/>
      <c r="U19" s="25"/>
      <c r="V19" s="25"/>
    </row>
    <row r="20" spans="1:22" ht="14.25" customHeight="1">
      <c r="A20" s="25"/>
      <c r="B20" s="25"/>
      <c r="C20" s="25">
        <v>2020</v>
      </c>
      <c r="D20" s="45">
        <v>25</v>
      </c>
      <c r="E20" s="128"/>
      <c r="F20" s="128"/>
      <c r="G20" s="128"/>
      <c r="H20" s="128"/>
      <c r="I20" s="128"/>
      <c r="J20" s="129"/>
      <c r="K20" s="129"/>
      <c r="L20" s="129"/>
      <c r="M20" s="129"/>
      <c r="N20" s="129"/>
      <c r="O20" s="45">
        <f t="shared" si="0"/>
        <v>25</v>
      </c>
      <c r="P20" s="32"/>
      <c r="Q20" s="32"/>
      <c r="R20" s="121"/>
      <c r="S20" s="121"/>
      <c r="T20" s="121"/>
      <c r="U20" s="25"/>
      <c r="V20" s="25"/>
    </row>
    <row r="21" spans="1:22" ht="14.25" customHeight="1">
      <c r="A21" s="25">
        <v>2</v>
      </c>
      <c r="B21" s="25" t="s">
        <v>176</v>
      </c>
      <c r="C21" s="25">
        <v>2017</v>
      </c>
      <c r="D21" s="45">
        <f aca="true" t="shared" si="1" ref="D21:D22">O21</f>
        <v>120</v>
      </c>
      <c r="E21" s="128"/>
      <c r="F21" s="128"/>
      <c r="G21" s="128"/>
      <c r="H21" s="128"/>
      <c r="I21" s="128"/>
      <c r="J21" s="129"/>
      <c r="K21" s="129"/>
      <c r="L21" s="129"/>
      <c r="M21" s="129"/>
      <c r="N21" s="129"/>
      <c r="O21" s="45">
        <v>120</v>
      </c>
      <c r="P21" s="32"/>
      <c r="Q21" s="32"/>
      <c r="R21" s="121"/>
      <c r="S21" s="25" t="s">
        <v>61</v>
      </c>
      <c r="T21" s="25"/>
      <c r="U21" s="25"/>
      <c r="V21" s="25" t="s">
        <v>177</v>
      </c>
    </row>
    <row r="22" spans="1:22" ht="24" customHeight="1">
      <c r="A22" s="25"/>
      <c r="B22" s="25"/>
      <c r="C22" s="25">
        <v>2018</v>
      </c>
      <c r="D22" s="45">
        <f t="shared" si="1"/>
        <v>120</v>
      </c>
      <c r="E22" s="128"/>
      <c r="F22" s="128"/>
      <c r="G22" s="128"/>
      <c r="H22" s="128"/>
      <c r="I22" s="128"/>
      <c r="J22" s="128"/>
      <c r="K22" s="130"/>
      <c r="L22" s="130"/>
      <c r="M22" s="130"/>
      <c r="N22" s="130"/>
      <c r="O22" s="45">
        <v>120</v>
      </c>
      <c r="P22" s="25"/>
      <c r="Q22" s="32"/>
      <c r="R22" s="32"/>
      <c r="S22" s="25"/>
      <c r="T22" s="25"/>
      <c r="U22" s="25"/>
      <c r="V22" s="25"/>
    </row>
    <row r="23" spans="1:22" ht="25.5" customHeight="1" hidden="1">
      <c r="A23" s="25"/>
      <c r="B23" s="25"/>
      <c r="C23" s="25"/>
      <c r="D23" s="45"/>
      <c r="E23" s="128"/>
      <c r="F23" s="128"/>
      <c r="G23" s="128"/>
      <c r="H23" s="128"/>
      <c r="I23" s="128"/>
      <c r="J23" s="128"/>
      <c r="K23" s="130"/>
      <c r="L23" s="130"/>
      <c r="M23" s="130"/>
      <c r="N23" s="130"/>
      <c r="O23" s="45"/>
      <c r="P23" s="25"/>
      <c r="Q23" s="32"/>
      <c r="R23" s="32"/>
      <c r="S23" s="25"/>
      <c r="T23" s="25"/>
      <c r="U23" s="25"/>
      <c r="V23" s="25"/>
    </row>
    <row r="24" spans="1:22" ht="14.25">
      <c r="A24" s="25"/>
      <c r="B24" s="25"/>
      <c r="C24" s="25">
        <v>2019</v>
      </c>
      <c r="D24" s="45">
        <f aca="true" t="shared" si="2" ref="D24:D27">O24</f>
        <v>120</v>
      </c>
      <c r="E24" s="128"/>
      <c r="F24" s="128"/>
      <c r="G24" s="128"/>
      <c r="H24" s="128"/>
      <c r="I24" s="128"/>
      <c r="J24" s="128"/>
      <c r="K24" s="130"/>
      <c r="L24" s="130"/>
      <c r="M24" s="130"/>
      <c r="N24" s="130"/>
      <c r="O24" s="45">
        <v>120</v>
      </c>
      <c r="P24" s="32"/>
      <c r="Q24" s="32"/>
      <c r="R24" s="32"/>
      <c r="S24" s="25"/>
      <c r="T24" s="25"/>
      <c r="U24" s="25"/>
      <c r="V24" s="25"/>
    </row>
    <row r="25" spans="1:22" ht="33" customHeight="1">
      <c r="A25" s="25"/>
      <c r="B25" s="25"/>
      <c r="C25" s="25">
        <v>2020</v>
      </c>
      <c r="D25" s="45">
        <f t="shared" si="2"/>
        <v>120</v>
      </c>
      <c r="E25" s="128"/>
      <c r="F25" s="128"/>
      <c r="G25" s="128"/>
      <c r="H25" s="128"/>
      <c r="I25" s="128"/>
      <c r="J25" s="128"/>
      <c r="K25" s="130"/>
      <c r="L25" s="130"/>
      <c r="M25" s="130"/>
      <c r="N25" s="130"/>
      <c r="O25" s="45">
        <v>120</v>
      </c>
      <c r="P25" s="32"/>
      <c r="Q25" s="32"/>
      <c r="R25" s="32"/>
      <c r="S25" s="25"/>
      <c r="T25" s="25"/>
      <c r="U25" s="25"/>
      <c r="V25" s="25"/>
    </row>
    <row r="26" spans="1:22" ht="21" customHeight="1">
      <c r="A26" s="25">
        <v>3</v>
      </c>
      <c r="B26" s="25" t="s">
        <v>178</v>
      </c>
      <c r="C26" s="25">
        <v>2017</v>
      </c>
      <c r="D26" s="45">
        <f t="shared" si="2"/>
        <v>40</v>
      </c>
      <c r="E26" s="45"/>
      <c r="F26" s="45"/>
      <c r="G26" s="45"/>
      <c r="H26" s="45"/>
      <c r="I26" s="45"/>
      <c r="J26" s="45"/>
      <c r="K26" s="130"/>
      <c r="L26" s="130"/>
      <c r="M26" s="130"/>
      <c r="N26" s="130"/>
      <c r="O26" s="45">
        <v>40</v>
      </c>
      <c r="P26" s="32"/>
      <c r="Q26" s="32"/>
      <c r="R26" s="32"/>
      <c r="S26" s="25"/>
      <c r="T26" s="25" t="s">
        <v>61</v>
      </c>
      <c r="U26" s="25"/>
      <c r="V26" s="25" t="s">
        <v>179</v>
      </c>
    </row>
    <row r="27" spans="1:22" ht="14.25" customHeight="1">
      <c r="A27" s="25"/>
      <c r="B27" s="25"/>
      <c r="C27" s="25">
        <v>2018</v>
      </c>
      <c r="D27" s="131">
        <f t="shared" si="2"/>
        <v>110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1">
        <f>40+70</f>
        <v>110</v>
      </c>
      <c r="P27" s="32"/>
      <c r="Q27" s="32"/>
      <c r="R27" s="32"/>
      <c r="S27" s="32"/>
      <c r="T27" s="25"/>
      <c r="U27" s="25"/>
      <c r="V27" s="25"/>
    </row>
    <row r="28" spans="1:22" ht="21" customHeight="1">
      <c r="A28" s="25"/>
      <c r="B28" s="25"/>
      <c r="C28" s="87">
        <v>2019</v>
      </c>
      <c r="D28" s="131">
        <v>40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1">
        <v>40</v>
      </c>
      <c r="P28" s="32"/>
      <c r="Q28" s="32"/>
      <c r="R28" s="32"/>
      <c r="S28" s="32"/>
      <c r="T28" s="25"/>
      <c r="U28" s="25"/>
      <c r="V28" s="25"/>
    </row>
    <row r="29" spans="1:22" ht="24" customHeight="1">
      <c r="A29" s="25"/>
      <c r="B29" s="25"/>
      <c r="C29" s="87">
        <v>2020</v>
      </c>
      <c r="D29" s="131">
        <f aca="true" t="shared" si="3" ref="D29:D30">O29</f>
        <v>40</v>
      </c>
      <c r="E29" s="132"/>
      <c r="F29" s="132"/>
      <c r="G29" s="132"/>
      <c r="H29" s="132"/>
      <c r="I29" s="132"/>
      <c r="J29" s="132"/>
      <c r="K29" s="133"/>
      <c r="L29" s="133"/>
      <c r="M29" s="133"/>
      <c r="N29" s="133"/>
      <c r="O29" s="131">
        <v>40</v>
      </c>
      <c r="P29" s="32"/>
      <c r="Q29" s="32"/>
      <c r="R29" s="32"/>
      <c r="S29" s="32"/>
      <c r="T29" s="25"/>
      <c r="U29" s="25"/>
      <c r="V29" s="25"/>
    </row>
    <row r="30" spans="1:22" ht="24" customHeight="1">
      <c r="A30" s="25" t="s">
        <v>180</v>
      </c>
      <c r="B30" s="28" t="s">
        <v>181</v>
      </c>
      <c r="C30" s="87">
        <v>2017</v>
      </c>
      <c r="D30" s="131">
        <f t="shared" si="3"/>
        <v>163.5</v>
      </c>
      <c r="E30" s="132"/>
      <c r="F30" s="132"/>
      <c r="G30" s="132"/>
      <c r="H30" s="132"/>
      <c r="I30" s="132"/>
      <c r="J30" s="132"/>
      <c r="K30" s="133"/>
      <c r="L30" s="133"/>
      <c r="M30" s="133"/>
      <c r="N30" s="133"/>
      <c r="O30" s="131">
        <v>163.5</v>
      </c>
      <c r="P30" s="32"/>
      <c r="Q30" s="32"/>
      <c r="R30" s="32"/>
      <c r="S30" s="32"/>
      <c r="T30" s="25"/>
      <c r="U30" s="25" t="s">
        <v>61</v>
      </c>
      <c r="V30" s="25" t="s">
        <v>182</v>
      </c>
    </row>
    <row r="31" spans="1:22" ht="28.5" customHeight="1">
      <c r="A31" s="25"/>
      <c r="B31" s="28"/>
      <c r="C31" s="25">
        <v>2018</v>
      </c>
      <c r="D31" s="45">
        <v>163.5</v>
      </c>
      <c r="E31" s="128"/>
      <c r="F31" s="128"/>
      <c r="G31" s="128"/>
      <c r="H31" s="128"/>
      <c r="I31" s="128"/>
      <c r="J31" s="128"/>
      <c r="K31" s="45"/>
      <c r="L31" s="45"/>
      <c r="M31" s="45"/>
      <c r="N31" s="45"/>
      <c r="O31" s="45">
        <f>163.5-70</f>
        <v>93.5</v>
      </c>
      <c r="P31" s="32"/>
      <c r="Q31" s="32"/>
      <c r="R31" s="32"/>
      <c r="S31" s="32"/>
      <c r="T31" s="32"/>
      <c r="U31" s="25"/>
      <c r="V31" s="25"/>
    </row>
    <row r="32" spans="1:22" ht="14.25" customHeight="1">
      <c r="A32" s="25"/>
      <c r="B32" s="28"/>
      <c r="C32" s="25">
        <v>2019</v>
      </c>
      <c r="D32" s="45">
        <v>163.5</v>
      </c>
      <c r="E32" s="128"/>
      <c r="F32" s="128"/>
      <c r="G32" s="128"/>
      <c r="H32" s="128"/>
      <c r="I32" s="128"/>
      <c r="J32" s="128"/>
      <c r="K32" s="45"/>
      <c r="L32" s="45"/>
      <c r="M32" s="45"/>
      <c r="N32" s="45"/>
      <c r="O32" s="45">
        <v>163.5</v>
      </c>
      <c r="P32" s="32"/>
      <c r="Q32" s="32"/>
      <c r="R32" s="32"/>
      <c r="S32" s="32"/>
      <c r="T32" s="32"/>
      <c r="U32" s="25"/>
      <c r="V32" s="25"/>
    </row>
    <row r="33" spans="1:22" ht="18.75" customHeight="1">
      <c r="A33" s="25"/>
      <c r="B33" s="28"/>
      <c r="C33" s="25">
        <v>2020</v>
      </c>
      <c r="D33" s="45">
        <v>163.5</v>
      </c>
      <c r="E33" s="128"/>
      <c r="F33" s="128"/>
      <c r="G33" s="128"/>
      <c r="H33" s="128"/>
      <c r="I33" s="128"/>
      <c r="J33" s="128"/>
      <c r="K33" s="45"/>
      <c r="L33" s="45"/>
      <c r="M33" s="45"/>
      <c r="N33" s="45"/>
      <c r="O33" s="45">
        <v>163.5</v>
      </c>
      <c r="P33" s="32"/>
      <c r="Q33" s="32"/>
      <c r="R33" s="32"/>
      <c r="S33" s="32"/>
      <c r="T33" s="32"/>
      <c r="U33" s="25"/>
      <c r="V33" s="25"/>
    </row>
    <row r="34" spans="1:22" ht="18.75" customHeight="1">
      <c r="A34" s="25" t="s">
        <v>183</v>
      </c>
      <c r="B34" s="25" t="s">
        <v>184</v>
      </c>
      <c r="C34" s="25">
        <v>2017</v>
      </c>
      <c r="D34" s="45">
        <f>O34</f>
        <v>10</v>
      </c>
      <c r="E34" s="128"/>
      <c r="F34" s="128"/>
      <c r="G34" s="128"/>
      <c r="H34" s="128"/>
      <c r="I34" s="128"/>
      <c r="J34" s="128"/>
      <c r="K34" s="45"/>
      <c r="L34" s="45"/>
      <c r="M34" s="45"/>
      <c r="N34" s="45"/>
      <c r="O34" s="45">
        <v>10</v>
      </c>
      <c r="P34" s="32"/>
      <c r="Q34" s="32"/>
      <c r="R34" s="32"/>
      <c r="S34" s="32"/>
      <c r="T34" s="32"/>
      <c r="U34" s="25" t="s">
        <v>61</v>
      </c>
      <c r="V34" s="25" t="s">
        <v>185</v>
      </c>
    </row>
    <row r="35" spans="1:22" ht="16.5" customHeight="1">
      <c r="A35" s="25"/>
      <c r="B35" s="25"/>
      <c r="C35" s="25">
        <v>2018</v>
      </c>
      <c r="D35" s="45">
        <v>10</v>
      </c>
      <c r="E35" s="128"/>
      <c r="F35" s="128"/>
      <c r="G35" s="128"/>
      <c r="H35" s="128"/>
      <c r="I35" s="128"/>
      <c r="J35" s="128"/>
      <c r="K35" s="128"/>
      <c r="L35" s="45"/>
      <c r="M35" s="45"/>
      <c r="N35" s="45"/>
      <c r="O35" s="45">
        <v>10</v>
      </c>
      <c r="P35" s="25"/>
      <c r="Q35" s="25"/>
      <c r="R35" s="25"/>
      <c r="S35" s="25"/>
      <c r="T35" s="25"/>
      <c r="U35" s="25"/>
      <c r="V35" s="25"/>
    </row>
    <row r="36" spans="1:22" ht="14.25">
      <c r="A36" s="25"/>
      <c r="B36" s="25"/>
      <c r="C36" s="25">
        <v>2019</v>
      </c>
      <c r="D36" s="45">
        <v>10</v>
      </c>
      <c r="E36" s="128"/>
      <c r="F36" s="128"/>
      <c r="G36" s="128"/>
      <c r="H36" s="128"/>
      <c r="I36" s="128"/>
      <c r="J36" s="128"/>
      <c r="K36" s="128"/>
      <c r="L36" s="45"/>
      <c r="M36" s="45"/>
      <c r="N36" s="45"/>
      <c r="O36" s="45">
        <v>10</v>
      </c>
      <c r="P36" s="25"/>
      <c r="Q36" s="25"/>
      <c r="R36" s="25"/>
      <c r="S36" s="25"/>
      <c r="T36" s="25"/>
      <c r="U36" s="25"/>
      <c r="V36" s="25"/>
    </row>
    <row r="37" spans="1:22" ht="21" customHeight="1">
      <c r="A37" s="25"/>
      <c r="B37" s="25"/>
      <c r="C37" s="25">
        <v>2020</v>
      </c>
      <c r="D37" s="45">
        <v>10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45">
        <v>10</v>
      </c>
      <c r="P37" s="25"/>
      <c r="Q37" s="25"/>
      <c r="R37" s="25"/>
      <c r="S37" s="25"/>
      <c r="T37" s="25"/>
      <c r="U37" s="25"/>
      <c r="V37" s="25"/>
    </row>
    <row r="38" spans="1:22" ht="21" customHeight="1">
      <c r="A38" s="25"/>
      <c r="B38" s="134" t="s">
        <v>186</v>
      </c>
      <c r="C38" s="90">
        <v>2017</v>
      </c>
      <c r="D38" s="135">
        <f>O38</f>
        <v>358.5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35">
        <f>O34+O30+O26+O21+O17+O46</f>
        <v>358.5</v>
      </c>
      <c r="P38" s="25"/>
      <c r="Q38" s="25"/>
      <c r="R38" s="25"/>
      <c r="S38" s="25"/>
      <c r="T38" s="25"/>
      <c r="U38" s="25"/>
      <c r="V38" s="25"/>
    </row>
    <row r="39" spans="1:22" ht="21" customHeight="1">
      <c r="A39" s="25"/>
      <c r="B39" s="90"/>
      <c r="C39" s="90">
        <v>2018</v>
      </c>
      <c r="D39" s="135">
        <f aca="true" t="shared" si="4" ref="D39:D41">SUM(E39:O39)</f>
        <v>358.5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5">
        <f>SUM(O18+O22+O27+O31+O35+O47)</f>
        <v>358.5</v>
      </c>
      <c r="P39" s="25"/>
      <c r="Q39" s="25"/>
      <c r="R39" s="25"/>
      <c r="S39" s="25"/>
      <c r="T39" s="25"/>
      <c r="U39" s="25"/>
      <c r="V39" s="25"/>
    </row>
    <row r="40" spans="1:22" ht="21" customHeight="1">
      <c r="A40" s="25"/>
      <c r="B40" s="90"/>
      <c r="C40" s="90">
        <v>2019</v>
      </c>
      <c r="D40" s="135">
        <f t="shared" si="4"/>
        <v>358.5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5">
        <f>SUM(O19+O24+O28+O32+O36)</f>
        <v>358.5</v>
      </c>
      <c r="P40" s="25"/>
      <c r="Q40" s="25"/>
      <c r="R40" s="25"/>
      <c r="S40" s="25"/>
      <c r="T40" s="25"/>
      <c r="U40" s="25"/>
      <c r="V40" s="25"/>
    </row>
    <row r="41" spans="1:22" ht="21" customHeight="1">
      <c r="A41" s="25"/>
      <c r="B41" s="90"/>
      <c r="C41" s="90">
        <v>2020</v>
      </c>
      <c r="D41" s="135">
        <f t="shared" si="4"/>
        <v>358.5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5">
        <f>O40</f>
        <v>358.5</v>
      </c>
      <c r="P41" s="25"/>
      <c r="Q41" s="25"/>
      <c r="R41" s="25"/>
      <c r="S41" s="25"/>
      <c r="T41" s="25"/>
      <c r="U41" s="25"/>
      <c r="V41" s="25"/>
    </row>
    <row r="42" spans="1:22" ht="30" customHeight="1">
      <c r="A42" s="25"/>
      <c r="B42" s="90"/>
      <c r="C42" s="137" t="s">
        <v>187</v>
      </c>
      <c r="D42" s="135">
        <f>SUM(D38+D39+D40+D41)</f>
        <v>1434</v>
      </c>
      <c r="E42" s="138">
        <f>SUM(E39:E41)</f>
        <v>0</v>
      </c>
      <c r="F42" s="139"/>
      <c r="G42" s="139"/>
      <c r="H42" s="139"/>
      <c r="I42" s="139"/>
      <c r="J42" s="139"/>
      <c r="K42" s="139"/>
      <c r="L42" s="139"/>
      <c r="M42" s="139"/>
      <c r="N42" s="135">
        <v>430</v>
      </c>
      <c r="O42" s="138">
        <f>SUM(O38+O39+O40+O41)</f>
        <v>1434</v>
      </c>
      <c r="P42" s="140"/>
      <c r="Q42" s="140"/>
      <c r="R42" s="140"/>
      <c r="S42" s="140"/>
      <c r="T42" s="140"/>
      <c r="U42" s="140"/>
      <c r="V42" s="137"/>
    </row>
    <row r="43" spans="1:22" ht="18.75" customHeight="1">
      <c r="A43" s="141" t="s">
        <v>105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</row>
    <row r="44" spans="1:22" ht="33" customHeight="1">
      <c r="A44" s="142" t="s">
        <v>188</v>
      </c>
      <c r="B44" s="143" t="s">
        <v>189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</row>
    <row r="45" spans="1:22" ht="18" customHeight="1" hidden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</row>
    <row r="46" spans="1:22" ht="33" customHeight="1">
      <c r="A46" s="25" t="s">
        <v>21</v>
      </c>
      <c r="B46" s="25" t="s">
        <v>190</v>
      </c>
      <c r="C46" s="87">
        <v>2017</v>
      </c>
      <c r="D46" s="131">
        <f aca="true" t="shared" si="5" ref="D46:D47">O46</f>
        <v>0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1">
        <v>0</v>
      </c>
      <c r="P46" s="25"/>
      <c r="Q46" s="25"/>
      <c r="R46" s="25"/>
      <c r="S46" s="25"/>
      <c r="T46" s="25"/>
      <c r="U46" s="88" t="s">
        <v>118</v>
      </c>
      <c r="V46" s="25"/>
    </row>
    <row r="47" spans="1:22" ht="14.25">
      <c r="A47" s="25"/>
      <c r="B47" s="25"/>
      <c r="C47" s="87">
        <v>2018</v>
      </c>
      <c r="D47" s="131">
        <f t="shared" si="5"/>
        <v>0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44">
        <v>0</v>
      </c>
      <c r="P47" s="25"/>
      <c r="Q47" s="25"/>
      <c r="R47" s="25"/>
      <c r="S47" s="25"/>
      <c r="T47" s="25"/>
      <c r="U47" s="88"/>
      <c r="V47" s="25"/>
    </row>
    <row r="48" spans="1:22" ht="14.25">
      <c r="A48" s="25"/>
      <c r="B48" s="25"/>
      <c r="C48" s="87">
        <v>2019</v>
      </c>
      <c r="D48" s="131">
        <v>5000</v>
      </c>
      <c r="E48" s="132"/>
      <c r="F48" s="132">
        <v>5000</v>
      </c>
      <c r="G48" s="132"/>
      <c r="H48" s="132"/>
      <c r="I48" s="131">
        <v>5000</v>
      </c>
      <c r="J48" s="132"/>
      <c r="K48" s="132"/>
      <c r="L48" s="132"/>
      <c r="M48" s="132"/>
      <c r="N48" s="132"/>
      <c r="O48" s="145">
        <v>0</v>
      </c>
      <c r="P48" s="25"/>
      <c r="Q48" s="25"/>
      <c r="R48" s="25"/>
      <c r="S48" s="25"/>
      <c r="T48" s="25"/>
      <c r="U48" s="88"/>
      <c r="V48" s="25"/>
    </row>
    <row r="49" spans="1:22" ht="14.25" customHeight="1">
      <c r="A49" s="25"/>
      <c r="B49" s="25"/>
      <c r="C49" s="87">
        <v>2020</v>
      </c>
      <c r="D49" s="131">
        <v>4000</v>
      </c>
      <c r="E49" s="132"/>
      <c r="F49" s="132">
        <v>4000</v>
      </c>
      <c r="G49" s="132"/>
      <c r="H49" s="132"/>
      <c r="I49" s="131">
        <v>4000</v>
      </c>
      <c r="J49" s="132"/>
      <c r="K49" s="132"/>
      <c r="L49" s="132"/>
      <c r="M49" s="132"/>
      <c r="N49" s="132"/>
      <c r="O49" s="145">
        <v>0</v>
      </c>
      <c r="P49" s="25"/>
      <c r="Q49" s="25"/>
      <c r="R49" s="25"/>
      <c r="S49" s="25"/>
      <c r="T49" s="25"/>
      <c r="U49" s="88"/>
      <c r="V49" s="25"/>
    </row>
    <row r="50" spans="1:22" ht="14.25" customHeight="1">
      <c r="A50" s="146"/>
      <c r="B50" s="25" t="s">
        <v>191</v>
      </c>
      <c r="C50" s="87">
        <v>2017</v>
      </c>
      <c r="D50" s="131">
        <f aca="true" t="shared" si="6" ref="D50:D55">O50</f>
        <v>0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1">
        <v>0</v>
      </c>
      <c r="P50" s="25"/>
      <c r="Q50" s="25"/>
      <c r="R50" s="25"/>
      <c r="S50" s="25"/>
      <c r="T50" s="25"/>
      <c r="U50" s="88"/>
      <c r="V50" s="25"/>
    </row>
    <row r="51" spans="1:22" ht="14.25" customHeight="1">
      <c r="A51" s="146"/>
      <c r="B51" s="25"/>
      <c r="C51" s="87">
        <v>2018</v>
      </c>
      <c r="D51" s="131">
        <f t="shared" si="6"/>
        <v>70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1">
        <v>70</v>
      </c>
      <c r="P51" s="25"/>
      <c r="Q51" s="25"/>
      <c r="R51" s="25"/>
      <c r="S51" s="25"/>
      <c r="T51" s="25"/>
      <c r="U51" s="88"/>
      <c r="V51" s="25"/>
    </row>
    <row r="52" spans="1:22" ht="14.25" customHeight="1">
      <c r="A52" s="146"/>
      <c r="B52" s="25"/>
      <c r="C52" s="87">
        <v>2019</v>
      </c>
      <c r="D52" s="131">
        <f t="shared" si="6"/>
        <v>0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1">
        <v>0</v>
      </c>
      <c r="P52" s="25"/>
      <c r="Q52" s="25"/>
      <c r="R52" s="25"/>
      <c r="S52" s="25"/>
      <c r="T52" s="25"/>
      <c r="U52" s="88"/>
      <c r="V52" s="25"/>
    </row>
    <row r="53" spans="1:22" ht="21.75" customHeight="1">
      <c r="A53" s="146"/>
      <c r="B53" s="25"/>
      <c r="C53" s="87">
        <v>2020</v>
      </c>
      <c r="D53" s="131">
        <f t="shared" si="6"/>
        <v>0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1">
        <v>0</v>
      </c>
      <c r="P53" s="25"/>
      <c r="Q53" s="25"/>
      <c r="R53" s="25"/>
      <c r="S53" s="25"/>
      <c r="T53" s="25"/>
      <c r="U53" s="88"/>
      <c r="V53" s="25"/>
    </row>
    <row r="54" spans="1:22" ht="14.25">
      <c r="A54" s="25"/>
      <c r="B54" s="90" t="s">
        <v>192</v>
      </c>
      <c r="C54" s="31">
        <v>2017</v>
      </c>
      <c r="D54" s="147">
        <f t="shared" si="6"/>
        <v>0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>
        <f>O46</f>
        <v>0</v>
      </c>
      <c r="P54" s="25"/>
      <c r="Q54" s="25"/>
      <c r="R54" s="25"/>
      <c r="S54" s="25"/>
      <c r="T54" s="25"/>
      <c r="U54" s="88"/>
      <c r="V54" s="25"/>
    </row>
    <row r="55" spans="1:22" ht="14.25">
      <c r="A55" s="25"/>
      <c r="B55" s="90"/>
      <c r="C55" s="31">
        <v>2018</v>
      </c>
      <c r="D55" s="147">
        <f t="shared" si="6"/>
        <v>70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7">
        <f>O51</f>
        <v>70</v>
      </c>
      <c r="P55" s="25"/>
      <c r="Q55" s="25"/>
      <c r="R55" s="25"/>
      <c r="S55" s="25"/>
      <c r="T55" s="25"/>
      <c r="U55" s="88"/>
      <c r="V55" s="25"/>
    </row>
    <row r="56" spans="1:22" ht="14.25">
      <c r="A56" s="25"/>
      <c r="B56" s="90"/>
      <c r="C56" s="31">
        <v>2019</v>
      </c>
      <c r="D56" s="147">
        <f>I56</f>
        <v>5000</v>
      </c>
      <c r="E56" s="148"/>
      <c r="F56" s="148"/>
      <c r="G56" s="148"/>
      <c r="H56" s="148"/>
      <c r="I56" s="148">
        <f aca="true" t="shared" si="7" ref="I56:I57">I48</f>
        <v>5000</v>
      </c>
      <c r="J56" s="148"/>
      <c r="K56" s="148"/>
      <c r="L56" s="148"/>
      <c r="M56" s="148"/>
      <c r="N56" s="148"/>
      <c r="O56" s="147">
        <v>0</v>
      </c>
      <c r="P56" s="25"/>
      <c r="Q56" s="25"/>
      <c r="R56" s="25"/>
      <c r="S56" s="25"/>
      <c r="T56" s="25"/>
      <c r="U56" s="88"/>
      <c r="V56" s="25"/>
    </row>
    <row r="57" spans="1:22" ht="14.25">
      <c r="A57" s="25"/>
      <c r="B57" s="90"/>
      <c r="C57" s="31">
        <v>2020</v>
      </c>
      <c r="D57" s="147">
        <f>O57+I57</f>
        <v>4000</v>
      </c>
      <c r="E57" s="148"/>
      <c r="F57" s="148"/>
      <c r="G57" s="148"/>
      <c r="H57" s="148"/>
      <c r="I57" s="148">
        <f t="shared" si="7"/>
        <v>4000</v>
      </c>
      <c r="J57" s="148"/>
      <c r="K57" s="148"/>
      <c r="L57" s="148"/>
      <c r="M57" s="148"/>
      <c r="N57" s="148"/>
      <c r="O57" s="147">
        <v>0</v>
      </c>
      <c r="P57" s="25"/>
      <c r="Q57" s="25"/>
      <c r="R57" s="25"/>
      <c r="S57" s="25"/>
      <c r="T57" s="25"/>
      <c r="U57" s="88"/>
      <c r="V57" s="25"/>
    </row>
    <row r="58" spans="1:22" ht="14.25">
      <c r="A58" s="25"/>
      <c r="B58" s="90" t="s">
        <v>193</v>
      </c>
      <c r="C58" s="31">
        <v>2017</v>
      </c>
      <c r="D58" s="147">
        <f aca="true" t="shared" si="8" ref="D58:D59">O58</f>
        <v>358.5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>
        <f aca="true" t="shared" si="9" ref="O58:O61">O54+O38</f>
        <v>358.5</v>
      </c>
      <c r="P58" s="25"/>
      <c r="Q58" s="25"/>
      <c r="R58" s="25"/>
      <c r="S58" s="25"/>
      <c r="T58" s="25"/>
      <c r="U58" s="32"/>
      <c r="V58" s="25"/>
    </row>
    <row r="59" spans="1:22" ht="14.25">
      <c r="A59" s="25"/>
      <c r="B59" s="90"/>
      <c r="C59" s="31">
        <v>2018</v>
      </c>
      <c r="D59" s="147">
        <f t="shared" si="8"/>
        <v>428.5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7">
        <f t="shared" si="9"/>
        <v>428.5</v>
      </c>
      <c r="P59" s="25"/>
      <c r="Q59" s="25"/>
      <c r="R59" s="25"/>
      <c r="S59" s="25"/>
      <c r="T59" s="25"/>
      <c r="U59" s="32"/>
      <c r="V59" s="25"/>
    </row>
    <row r="60" spans="1:22" ht="14.25">
      <c r="A60" s="25"/>
      <c r="B60" s="90"/>
      <c r="C60" s="31">
        <v>2019</v>
      </c>
      <c r="D60" s="147">
        <f aca="true" t="shared" si="10" ref="D60:D62">O60+I60</f>
        <v>5358.5</v>
      </c>
      <c r="E60" s="148"/>
      <c r="F60" s="148"/>
      <c r="G60" s="148"/>
      <c r="H60" s="148"/>
      <c r="I60" s="148">
        <f aca="true" t="shared" si="11" ref="I60:I61">I56</f>
        <v>5000</v>
      </c>
      <c r="J60" s="148"/>
      <c r="K60" s="148"/>
      <c r="L60" s="148"/>
      <c r="M60" s="148"/>
      <c r="N60" s="148"/>
      <c r="O60" s="147">
        <f t="shared" si="9"/>
        <v>358.5</v>
      </c>
      <c r="P60" s="25"/>
      <c r="Q60" s="25"/>
      <c r="R60" s="25"/>
      <c r="S60" s="25"/>
      <c r="T60" s="25"/>
      <c r="U60" s="32"/>
      <c r="V60" s="25"/>
    </row>
    <row r="61" spans="1:22" ht="14.25">
      <c r="A61" s="25"/>
      <c r="B61" s="90"/>
      <c r="C61" s="31">
        <v>2020</v>
      </c>
      <c r="D61" s="147">
        <f t="shared" si="10"/>
        <v>4358.5</v>
      </c>
      <c r="E61" s="148"/>
      <c r="F61" s="148"/>
      <c r="G61" s="148"/>
      <c r="H61" s="148"/>
      <c r="I61" s="148">
        <f t="shared" si="11"/>
        <v>4000</v>
      </c>
      <c r="J61" s="148"/>
      <c r="K61" s="148"/>
      <c r="L61" s="148"/>
      <c r="M61" s="148"/>
      <c r="N61" s="148"/>
      <c r="O61" s="147">
        <f t="shared" si="9"/>
        <v>358.5</v>
      </c>
      <c r="P61" s="25"/>
      <c r="Q61" s="25"/>
      <c r="R61" s="25"/>
      <c r="S61" s="25"/>
      <c r="T61" s="25"/>
      <c r="U61" s="149"/>
      <c r="V61" s="25"/>
    </row>
    <row r="62" spans="1:22" ht="14.25">
      <c r="A62" s="116"/>
      <c r="B62" s="116"/>
      <c r="C62" s="150" t="s">
        <v>165</v>
      </c>
      <c r="D62" s="151">
        <f t="shared" si="10"/>
        <v>10504</v>
      </c>
      <c r="E62" s="152"/>
      <c r="F62" s="152"/>
      <c r="G62" s="152"/>
      <c r="H62" s="152"/>
      <c r="I62" s="151">
        <f>I58+I59+I60+I61</f>
        <v>9000</v>
      </c>
      <c r="J62" s="152"/>
      <c r="K62" s="152"/>
      <c r="L62" s="152"/>
      <c r="M62" s="152"/>
      <c r="N62" s="152"/>
      <c r="O62" s="151">
        <f>O61+O60+O59+O58</f>
        <v>1504</v>
      </c>
      <c r="P62" s="116"/>
      <c r="Q62" s="116"/>
      <c r="R62" s="116"/>
      <c r="S62" s="116"/>
      <c r="T62" s="116"/>
      <c r="U62" s="116"/>
      <c r="V62" s="116"/>
    </row>
  </sheetData>
  <sheetProtection selectLockedCells="1" selectUnlockedCells="1"/>
  <mergeCells count="61">
    <mergeCell ref="B1:L1"/>
    <mergeCell ref="B2:L2"/>
    <mergeCell ref="K3:L3"/>
    <mergeCell ref="K4:L4"/>
    <mergeCell ref="A8:A12"/>
    <mergeCell ref="B8:B12"/>
    <mergeCell ref="C8:C12"/>
    <mergeCell ref="D8:D12"/>
    <mergeCell ref="E8:O8"/>
    <mergeCell ref="P8:P12"/>
    <mergeCell ref="U8:U12"/>
    <mergeCell ref="V8:V12"/>
    <mergeCell ref="E9:E12"/>
    <mergeCell ref="G9:O9"/>
    <mergeCell ref="G10:J10"/>
    <mergeCell ref="O10:O12"/>
    <mergeCell ref="G11:G12"/>
    <mergeCell ref="H11:I11"/>
    <mergeCell ref="Q13:U13"/>
    <mergeCell ref="A14:V14"/>
    <mergeCell ref="A15:V15"/>
    <mergeCell ref="A16:V16"/>
    <mergeCell ref="A17:A20"/>
    <mergeCell ref="B17:B20"/>
    <mergeCell ref="U17:U20"/>
    <mergeCell ref="V17:V20"/>
    <mergeCell ref="J20:N20"/>
    <mergeCell ref="A21:A25"/>
    <mergeCell ref="B21:B25"/>
    <mergeCell ref="S21:U25"/>
    <mergeCell ref="V21:V25"/>
    <mergeCell ref="C22:C23"/>
    <mergeCell ref="D22:D23"/>
    <mergeCell ref="O22:O23"/>
    <mergeCell ref="P22:P23"/>
    <mergeCell ref="A26:A29"/>
    <mergeCell ref="B26:B29"/>
    <mergeCell ref="T26:U29"/>
    <mergeCell ref="V26:V29"/>
    <mergeCell ref="A30:A33"/>
    <mergeCell ref="B30:B33"/>
    <mergeCell ref="U30:U33"/>
    <mergeCell ref="V30:V33"/>
    <mergeCell ref="K31:N31"/>
    <mergeCell ref="K32:N32"/>
    <mergeCell ref="K33:N33"/>
    <mergeCell ref="A34:A37"/>
    <mergeCell ref="B34:B37"/>
    <mergeCell ref="U34:U37"/>
    <mergeCell ref="V34:V37"/>
    <mergeCell ref="L35:N35"/>
    <mergeCell ref="P35:T37"/>
    <mergeCell ref="L36:N36"/>
    <mergeCell ref="A43:V43"/>
    <mergeCell ref="A44:A45"/>
    <mergeCell ref="B44:V45"/>
    <mergeCell ref="A46:A49"/>
    <mergeCell ref="B46:B49"/>
    <mergeCell ref="U46:U57"/>
    <mergeCell ref="V46:V57"/>
    <mergeCell ref="B50:B53"/>
  </mergeCells>
  <printOptions/>
  <pageMargins left="0.7083333333333334" right="0.7083333333333334" top="0.15763888888888888" bottom="0.15763888888888888" header="0.5118055555555555" footer="0.511805555555555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Normal="70" zoomScaleSheetLayoutView="100" workbookViewId="0" topLeftCell="A10">
      <selection activeCell="F24" sqref="F24"/>
    </sheetView>
  </sheetViews>
  <sheetFormatPr defaultColWidth="8.0039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1" max="11" width="9.00390625" style="0" customWidth="1"/>
    <col min="12" max="12" width="13.00390625" style="0" customWidth="1"/>
    <col min="13" max="13" width="33.421875" style="0" customWidth="1"/>
    <col min="14" max="16384" width="9.00390625" style="0" customWidth="1"/>
  </cols>
  <sheetData>
    <row r="1" spans="1:13" ht="16.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6.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9.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4"/>
      <c r="M3" s="154"/>
    </row>
    <row r="4" spans="1:13" ht="16.5" customHeight="1">
      <c r="A4" s="155"/>
      <c r="B4" s="153"/>
      <c r="C4" s="153"/>
      <c r="D4" s="153"/>
      <c r="E4" s="157"/>
      <c r="F4" s="157"/>
      <c r="G4" s="157"/>
      <c r="H4" s="153"/>
      <c r="I4" s="158"/>
      <c r="J4" s="153"/>
      <c r="K4" s="153"/>
      <c r="L4" s="154"/>
      <c r="M4" s="154"/>
    </row>
    <row r="5" spans="1:13" ht="16.5" customHeight="1">
      <c r="A5" s="155"/>
      <c r="B5" s="153"/>
      <c r="C5" s="153"/>
      <c r="D5" s="153"/>
      <c r="E5" s="157"/>
      <c r="F5" s="157"/>
      <c r="G5" s="157"/>
      <c r="H5" s="153"/>
      <c r="I5" s="158"/>
      <c r="J5" s="153"/>
      <c r="K5" s="153"/>
      <c r="L5" s="156"/>
      <c r="M5" s="156"/>
    </row>
    <row r="6" spans="1:13" ht="1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ht="15" customHeight="1">
      <c r="A7" s="160" t="s">
        <v>194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1.75" customHeight="1">
      <c r="A8" s="161" t="s">
        <v>5</v>
      </c>
      <c r="B8" s="161" t="s">
        <v>195</v>
      </c>
      <c r="C8" s="161" t="s">
        <v>7</v>
      </c>
      <c r="D8" s="161" t="s">
        <v>196</v>
      </c>
      <c r="E8" s="161" t="s">
        <v>197</v>
      </c>
      <c r="F8" s="161"/>
      <c r="G8" s="161"/>
      <c r="H8" s="161"/>
      <c r="I8" s="161"/>
      <c r="J8" s="162" t="s">
        <v>40</v>
      </c>
      <c r="K8" s="161" t="s">
        <v>198</v>
      </c>
      <c r="L8" s="161"/>
      <c r="M8" s="161" t="s">
        <v>199</v>
      </c>
    </row>
    <row r="9" spans="1:13" ht="15" customHeight="1">
      <c r="A9" s="161"/>
      <c r="B9" s="161"/>
      <c r="C9" s="161"/>
      <c r="D9" s="161"/>
      <c r="E9" s="161"/>
      <c r="F9" s="161"/>
      <c r="G9" s="161"/>
      <c r="H9" s="161"/>
      <c r="I9" s="161"/>
      <c r="J9" s="162"/>
      <c r="K9" s="161"/>
      <c r="L9" s="161"/>
      <c r="M9" s="161"/>
    </row>
    <row r="10" spans="1:13" ht="30" customHeight="1">
      <c r="A10" s="161"/>
      <c r="B10" s="161"/>
      <c r="C10" s="161"/>
      <c r="D10" s="161"/>
      <c r="E10" s="161" t="s">
        <v>43</v>
      </c>
      <c r="F10" s="161" t="s">
        <v>14</v>
      </c>
      <c r="G10" s="161"/>
      <c r="H10" s="161"/>
      <c r="I10" s="161"/>
      <c r="J10" s="162"/>
      <c r="K10" s="161"/>
      <c r="L10" s="161"/>
      <c r="M10" s="161"/>
    </row>
    <row r="11" spans="1:13" ht="15" customHeight="1">
      <c r="A11" s="161"/>
      <c r="B11" s="161"/>
      <c r="C11" s="161"/>
      <c r="D11" s="161"/>
      <c r="E11" s="161"/>
      <c r="F11" s="161" t="s">
        <v>200</v>
      </c>
      <c r="G11" s="161"/>
      <c r="H11" s="161"/>
      <c r="I11" s="161" t="s">
        <v>45</v>
      </c>
      <c r="J11" s="162"/>
      <c r="K11" s="161"/>
      <c r="L11" s="161"/>
      <c r="M11" s="161"/>
    </row>
    <row r="12" spans="1:13" ht="15" customHeight="1">
      <c r="A12" s="161"/>
      <c r="B12" s="161"/>
      <c r="C12" s="161"/>
      <c r="D12" s="161"/>
      <c r="E12" s="161"/>
      <c r="F12" s="161" t="s">
        <v>201</v>
      </c>
      <c r="G12" s="161" t="s">
        <v>18</v>
      </c>
      <c r="H12" s="161"/>
      <c r="I12" s="161"/>
      <c r="J12" s="162"/>
      <c r="K12" s="161"/>
      <c r="L12" s="161"/>
      <c r="M12" s="161"/>
    </row>
    <row r="13" spans="1:13" ht="94.5" customHeight="1">
      <c r="A13" s="161"/>
      <c r="B13" s="161"/>
      <c r="C13" s="161"/>
      <c r="D13" s="161"/>
      <c r="E13" s="161"/>
      <c r="F13" s="161"/>
      <c r="G13" s="163" t="s">
        <v>202</v>
      </c>
      <c r="H13" s="163" t="s">
        <v>203</v>
      </c>
      <c r="I13" s="161"/>
      <c r="J13" s="162"/>
      <c r="K13" s="161"/>
      <c r="L13" s="161"/>
      <c r="M13" s="161"/>
    </row>
    <row r="14" spans="1:13" ht="15" customHeight="1">
      <c r="A14" s="161">
        <v>1</v>
      </c>
      <c r="B14" s="161">
        <v>2</v>
      </c>
      <c r="C14" s="161">
        <v>3</v>
      </c>
      <c r="D14" s="161">
        <v>4</v>
      </c>
      <c r="E14" s="161">
        <v>5</v>
      </c>
      <c r="F14" s="161">
        <v>6</v>
      </c>
      <c r="G14" s="161">
        <v>7</v>
      </c>
      <c r="H14" s="161">
        <v>8</v>
      </c>
      <c r="I14" s="161">
        <v>9</v>
      </c>
      <c r="J14" s="161">
        <v>10</v>
      </c>
      <c r="K14" s="161">
        <v>11</v>
      </c>
      <c r="L14" s="161"/>
      <c r="M14" s="161">
        <v>12</v>
      </c>
    </row>
    <row r="15" spans="1:13" ht="15" customHeight="1">
      <c r="A15" s="164" t="s">
        <v>204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3" ht="37.5" customHeight="1">
      <c r="A16" s="165" t="s">
        <v>205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1:13" ht="37.5" customHeight="1">
      <c r="A17" s="161" t="s">
        <v>21</v>
      </c>
      <c r="B17" s="161" t="s">
        <v>206</v>
      </c>
      <c r="C17" s="161">
        <v>2017</v>
      </c>
      <c r="D17" s="166">
        <v>4</v>
      </c>
      <c r="E17" s="166"/>
      <c r="F17" s="166"/>
      <c r="G17" s="166"/>
      <c r="H17" s="166"/>
      <c r="I17" s="166">
        <v>4</v>
      </c>
      <c r="J17" s="165"/>
      <c r="K17" s="161" t="s">
        <v>207</v>
      </c>
      <c r="L17" s="161"/>
      <c r="M17" s="161" t="s">
        <v>208</v>
      </c>
    </row>
    <row r="18" spans="1:13" ht="39" customHeight="1">
      <c r="A18" s="161"/>
      <c r="B18" s="161"/>
      <c r="C18" s="161">
        <v>2018</v>
      </c>
      <c r="D18" s="167">
        <f aca="true" t="shared" si="0" ref="D18:D20">SUM(E18:I18)</f>
        <v>4</v>
      </c>
      <c r="E18" s="166"/>
      <c r="F18" s="166"/>
      <c r="G18" s="166"/>
      <c r="H18" s="168"/>
      <c r="I18" s="167">
        <v>4</v>
      </c>
      <c r="J18" s="169"/>
      <c r="K18" s="161"/>
      <c r="L18" s="161"/>
      <c r="M18" s="161"/>
    </row>
    <row r="19" spans="1:13" ht="39" customHeight="1">
      <c r="A19" s="161"/>
      <c r="B19" s="161"/>
      <c r="C19" s="161">
        <v>2019</v>
      </c>
      <c r="D19" s="166">
        <f t="shared" si="0"/>
        <v>4</v>
      </c>
      <c r="E19" s="166"/>
      <c r="F19" s="166"/>
      <c r="G19" s="166"/>
      <c r="H19" s="168"/>
      <c r="I19" s="166">
        <v>4</v>
      </c>
      <c r="J19" s="169"/>
      <c r="K19" s="161"/>
      <c r="L19" s="161"/>
      <c r="M19" s="161"/>
    </row>
    <row r="20" spans="1:13" ht="38.25" customHeight="1">
      <c r="A20" s="161"/>
      <c r="B20" s="161"/>
      <c r="C20" s="170">
        <v>2020</v>
      </c>
      <c r="D20" s="171">
        <f t="shared" si="0"/>
        <v>4</v>
      </c>
      <c r="E20" s="171"/>
      <c r="F20" s="171"/>
      <c r="G20" s="171"/>
      <c r="H20" s="172"/>
      <c r="I20" s="171">
        <v>4</v>
      </c>
      <c r="J20" s="169"/>
      <c r="K20" s="161"/>
      <c r="L20" s="161"/>
      <c r="M20" s="161"/>
    </row>
    <row r="21" spans="1:13" ht="15.75" customHeight="1">
      <c r="A21" s="164" t="s">
        <v>209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3" ht="32.25" customHeight="1">
      <c r="A22" s="173" t="s">
        <v>210</v>
      </c>
      <c r="B22" s="174" t="s">
        <v>211</v>
      </c>
      <c r="C22" s="161">
        <v>2017</v>
      </c>
      <c r="D22" s="166">
        <v>1.5</v>
      </c>
      <c r="E22" s="161"/>
      <c r="F22" s="161"/>
      <c r="G22" s="161"/>
      <c r="H22" s="161"/>
      <c r="I22" s="166">
        <v>1.5</v>
      </c>
      <c r="J22" s="161"/>
      <c r="K22" s="173" t="s">
        <v>212</v>
      </c>
      <c r="L22" s="173"/>
      <c r="M22" s="161" t="s">
        <v>213</v>
      </c>
    </row>
    <row r="23" spans="1:13" ht="36" customHeight="1">
      <c r="A23" s="173"/>
      <c r="B23" s="174"/>
      <c r="C23" s="161">
        <v>2018</v>
      </c>
      <c r="D23" s="166">
        <f aca="true" t="shared" si="1" ref="D23:D25">SUM(E23:I23)</f>
        <v>1.5</v>
      </c>
      <c r="E23" s="166"/>
      <c r="F23" s="166"/>
      <c r="G23" s="166"/>
      <c r="H23" s="166"/>
      <c r="I23" s="166">
        <v>1.5</v>
      </c>
      <c r="J23" s="161"/>
      <c r="K23" s="173"/>
      <c r="L23" s="173"/>
      <c r="M23" s="161"/>
    </row>
    <row r="24" spans="1:13" ht="35.25" customHeight="1">
      <c r="A24" s="173"/>
      <c r="B24" s="174"/>
      <c r="C24" s="161">
        <v>2019</v>
      </c>
      <c r="D24" s="166">
        <f t="shared" si="1"/>
        <v>1.5</v>
      </c>
      <c r="E24" s="166"/>
      <c r="F24" s="166"/>
      <c r="G24" s="166"/>
      <c r="H24" s="166"/>
      <c r="I24" s="166">
        <v>1.5</v>
      </c>
      <c r="J24" s="161"/>
      <c r="K24" s="173"/>
      <c r="L24" s="173"/>
      <c r="M24" s="161"/>
    </row>
    <row r="25" spans="1:13" ht="51" customHeight="1">
      <c r="A25" s="173"/>
      <c r="B25" s="174"/>
      <c r="C25" s="170">
        <v>2020</v>
      </c>
      <c r="D25" s="166">
        <f t="shared" si="1"/>
        <v>1.5</v>
      </c>
      <c r="E25" s="166"/>
      <c r="F25" s="166"/>
      <c r="G25" s="166"/>
      <c r="H25" s="166"/>
      <c r="I25" s="166">
        <v>1.5</v>
      </c>
      <c r="J25" s="161"/>
      <c r="K25" s="173"/>
      <c r="L25" s="173"/>
      <c r="M25" s="161"/>
    </row>
    <row r="26" spans="1:13" ht="15.75" customHeight="1">
      <c r="A26" s="164" t="s">
        <v>214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32.25" customHeight="1">
      <c r="A27" s="161" t="s">
        <v>215</v>
      </c>
      <c r="B27" s="174" t="s">
        <v>216</v>
      </c>
      <c r="C27" s="161">
        <v>2017</v>
      </c>
      <c r="D27" s="166">
        <f>I27</f>
        <v>7.6</v>
      </c>
      <c r="E27" s="166"/>
      <c r="F27" s="166"/>
      <c r="G27" s="166"/>
      <c r="H27" s="166"/>
      <c r="I27" s="166">
        <v>7.6</v>
      </c>
      <c r="J27" s="161"/>
      <c r="K27" s="161" t="s">
        <v>207</v>
      </c>
      <c r="L27" s="161"/>
      <c r="M27" s="162" t="s">
        <v>217</v>
      </c>
    </row>
    <row r="28" spans="1:13" ht="35.25" customHeight="1">
      <c r="A28" s="161"/>
      <c r="B28" s="174"/>
      <c r="C28" s="161">
        <v>2018</v>
      </c>
      <c r="D28" s="166">
        <f aca="true" t="shared" si="2" ref="D28:D30">SUM(E28:I28)</f>
        <v>7.6</v>
      </c>
      <c r="E28" s="166"/>
      <c r="F28" s="166"/>
      <c r="G28" s="166"/>
      <c r="H28" s="166"/>
      <c r="I28" s="166">
        <v>7.6</v>
      </c>
      <c r="J28" s="161"/>
      <c r="K28" s="161"/>
      <c r="L28" s="161"/>
      <c r="M28" s="162"/>
    </row>
    <row r="29" spans="1:13" ht="35.25" customHeight="1">
      <c r="A29" s="161"/>
      <c r="B29" s="174"/>
      <c r="C29" s="161">
        <v>2019</v>
      </c>
      <c r="D29" s="166">
        <f t="shared" si="2"/>
        <v>7.6</v>
      </c>
      <c r="E29" s="166"/>
      <c r="F29" s="166"/>
      <c r="G29" s="166"/>
      <c r="H29" s="166"/>
      <c r="I29" s="166">
        <v>7.6</v>
      </c>
      <c r="J29" s="161"/>
      <c r="K29" s="161"/>
      <c r="L29" s="161"/>
      <c r="M29" s="162"/>
    </row>
    <row r="30" spans="1:13" ht="35.25" customHeight="1">
      <c r="A30" s="161"/>
      <c r="B30" s="174"/>
      <c r="C30" s="170">
        <v>2020</v>
      </c>
      <c r="D30" s="166">
        <f t="shared" si="2"/>
        <v>7.6</v>
      </c>
      <c r="E30" s="166"/>
      <c r="F30" s="166"/>
      <c r="G30" s="166"/>
      <c r="H30" s="166"/>
      <c r="I30" s="166">
        <v>7.6</v>
      </c>
      <c r="J30" s="161"/>
      <c r="K30" s="161"/>
      <c r="L30" s="161"/>
      <c r="M30" s="162"/>
    </row>
    <row r="31" spans="1:13" ht="35.25" customHeight="1">
      <c r="A31" s="161" t="s">
        <v>144</v>
      </c>
      <c r="B31" s="161" t="s">
        <v>218</v>
      </c>
      <c r="C31" s="170">
        <v>2017</v>
      </c>
      <c r="D31" s="166">
        <f>I31</f>
        <v>6.4</v>
      </c>
      <c r="E31" s="166"/>
      <c r="F31" s="166"/>
      <c r="G31" s="166"/>
      <c r="H31" s="166"/>
      <c r="I31" s="166">
        <v>6.4</v>
      </c>
      <c r="J31" s="161"/>
      <c r="K31" s="161" t="s">
        <v>207</v>
      </c>
      <c r="L31" s="161"/>
      <c r="M31" s="162"/>
    </row>
    <row r="32" spans="1:13" ht="35.25" customHeight="1">
      <c r="A32" s="161"/>
      <c r="B32" s="161"/>
      <c r="C32" s="161">
        <v>2018</v>
      </c>
      <c r="D32" s="166">
        <f aca="true" t="shared" si="3" ref="D32:D34">SUM(E32:I32)</f>
        <v>3</v>
      </c>
      <c r="E32" s="166"/>
      <c r="F32" s="166"/>
      <c r="G32" s="166"/>
      <c r="H32" s="166"/>
      <c r="I32" s="166">
        <v>3</v>
      </c>
      <c r="J32" s="161"/>
      <c r="K32" s="161"/>
      <c r="L32" s="161"/>
      <c r="M32" s="162"/>
    </row>
    <row r="33" spans="1:13" ht="35.25" customHeight="1">
      <c r="A33" s="161"/>
      <c r="B33" s="161"/>
      <c r="C33" s="161">
        <v>2019</v>
      </c>
      <c r="D33" s="166">
        <f t="shared" si="3"/>
        <v>3</v>
      </c>
      <c r="E33" s="166"/>
      <c r="F33" s="166"/>
      <c r="G33" s="166"/>
      <c r="H33" s="166"/>
      <c r="I33" s="166">
        <v>3</v>
      </c>
      <c r="J33" s="161"/>
      <c r="K33" s="161"/>
      <c r="L33" s="161"/>
      <c r="M33" s="162"/>
    </row>
    <row r="34" spans="1:13" ht="35.25" customHeight="1">
      <c r="A34" s="161"/>
      <c r="B34" s="161"/>
      <c r="C34" s="170">
        <v>2020</v>
      </c>
      <c r="D34" s="166">
        <f t="shared" si="3"/>
        <v>3</v>
      </c>
      <c r="E34" s="166"/>
      <c r="F34" s="166"/>
      <c r="G34" s="166"/>
      <c r="H34" s="166"/>
      <c r="I34" s="166">
        <v>3</v>
      </c>
      <c r="J34" s="161"/>
      <c r="K34" s="161"/>
      <c r="L34" s="161"/>
      <c r="M34" s="162"/>
    </row>
    <row r="35" spans="1:13" ht="35.25" customHeight="1">
      <c r="A35" s="161" t="s">
        <v>219</v>
      </c>
      <c r="B35" s="161" t="s">
        <v>220</v>
      </c>
      <c r="C35" s="170">
        <v>2017</v>
      </c>
      <c r="D35" s="166">
        <f>I35</f>
        <v>0</v>
      </c>
      <c r="E35" s="166"/>
      <c r="F35" s="166"/>
      <c r="G35" s="166"/>
      <c r="H35" s="166"/>
      <c r="I35" s="166">
        <v>0</v>
      </c>
      <c r="J35" s="175"/>
      <c r="K35" s="161" t="s">
        <v>207</v>
      </c>
      <c r="L35" s="161"/>
      <c r="M35" s="162"/>
    </row>
    <row r="36" spans="1:13" ht="35.25" customHeight="1">
      <c r="A36" s="161"/>
      <c r="B36" s="161"/>
      <c r="C36" s="161">
        <v>2018</v>
      </c>
      <c r="D36" s="166">
        <f aca="true" t="shared" si="4" ref="D36:D38">SUM(E36:I36)</f>
        <v>2.4</v>
      </c>
      <c r="E36" s="166"/>
      <c r="F36" s="166"/>
      <c r="G36" s="166"/>
      <c r="H36" s="166"/>
      <c r="I36" s="166">
        <v>2.4</v>
      </c>
      <c r="J36" s="176"/>
      <c r="K36" s="161"/>
      <c r="L36" s="161"/>
      <c r="M36" s="162"/>
    </row>
    <row r="37" spans="1:13" ht="35.25" customHeight="1">
      <c r="A37" s="161"/>
      <c r="B37" s="161"/>
      <c r="C37" s="161">
        <v>2019</v>
      </c>
      <c r="D37" s="166">
        <f t="shared" si="4"/>
        <v>2.4</v>
      </c>
      <c r="E37" s="166"/>
      <c r="F37" s="166"/>
      <c r="G37" s="166"/>
      <c r="H37" s="168"/>
      <c r="I37" s="166">
        <v>2.4</v>
      </c>
      <c r="J37" s="176"/>
      <c r="K37" s="161"/>
      <c r="L37" s="161"/>
      <c r="M37" s="162"/>
    </row>
    <row r="38" spans="1:13" ht="35.25" customHeight="1">
      <c r="A38" s="161"/>
      <c r="B38" s="161"/>
      <c r="C38" s="170">
        <v>2020</v>
      </c>
      <c r="D38" s="166">
        <f t="shared" si="4"/>
        <v>2.4</v>
      </c>
      <c r="E38" s="166"/>
      <c r="F38" s="166"/>
      <c r="G38" s="166"/>
      <c r="H38" s="168"/>
      <c r="I38" s="166">
        <v>2.4</v>
      </c>
      <c r="J38" s="176"/>
      <c r="K38" s="161"/>
      <c r="L38" s="161"/>
      <c r="M38" s="162"/>
    </row>
    <row r="39" spans="1:13" ht="35.25" customHeight="1">
      <c r="A39" s="161" t="s">
        <v>221</v>
      </c>
      <c r="B39" s="161" t="s">
        <v>222</v>
      </c>
      <c r="C39" s="170">
        <v>2017</v>
      </c>
      <c r="D39" s="166">
        <f>I39</f>
        <v>1.2</v>
      </c>
      <c r="E39" s="166"/>
      <c r="F39" s="166"/>
      <c r="G39" s="166"/>
      <c r="H39" s="168"/>
      <c r="I39" s="166">
        <v>1.2</v>
      </c>
      <c r="J39" s="161"/>
      <c r="K39" s="161" t="s">
        <v>207</v>
      </c>
      <c r="L39" s="161"/>
      <c r="M39" s="162"/>
    </row>
    <row r="40" spans="1:13" ht="35.25" customHeight="1">
      <c r="A40" s="161"/>
      <c r="B40" s="161"/>
      <c r="C40" s="161">
        <v>2018</v>
      </c>
      <c r="D40" s="166">
        <f aca="true" t="shared" si="5" ref="D40:D42">SUM(E40:I40)</f>
        <v>2.2</v>
      </c>
      <c r="E40" s="166"/>
      <c r="F40" s="166"/>
      <c r="G40" s="166"/>
      <c r="H40" s="168"/>
      <c r="I40" s="166">
        <v>2.2</v>
      </c>
      <c r="J40" s="161"/>
      <c r="K40" s="161"/>
      <c r="L40" s="161"/>
      <c r="M40" s="162"/>
    </row>
    <row r="41" spans="1:13" ht="35.25" customHeight="1">
      <c r="A41" s="161"/>
      <c r="B41" s="161"/>
      <c r="C41" s="161">
        <v>2019</v>
      </c>
      <c r="D41" s="166">
        <f t="shared" si="5"/>
        <v>2.2</v>
      </c>
      <c r="E41" s="166"/>
      <c r="F41" s="166"/>
      <c r="G41" s="166"/>
      <c r="H41" s="168"/>
      <c r="I41" s="166">
        <v>2.2</v>
      </c>
      <c r="J41" s="161"/>
      <c r="K41" s="161"/>
      <c r="L41" s="161"/>
      <c r="M41" s="162"/>
    </row>
    <row r="42" spans="1:13" ht="35.25" customHeight="1">
      <c r="A42" s="161"/>
      <c r="B42" s="161"/>
      <c r="C42" s="170">
        <v>2020</v>
      </c>
      <c r="D42" s="166">
        <f t="shared" si="5"/>
        <v>2.2</v>
      </c>
      <c r="E42" s="166"/>
      <c r="F42" s="166"/>
      <c r="G42" s="166"/>
      <c r="H42" s="168"/>
      <c r="I42" s="166">
        <v>2.2</v>
      </c>
      <c r="J42" s="161"/>
      <c r="K42" s="161"/>
      <c r="L42" s="161"/>
      <c r="M42" s="162"/>
    </row>
    <row r="43" spans="1:13" ht="35.25" customHeight="1">
      <c r="A43" s="161" t="s">
        <v>223</v>
      </c>
      <c r="B43" s="161" t="s">
        <v>224</v>
      </c>
      <c r="C43" s="170">
        <v>2017</v>
      </c>
      <c r="D43" s="166">
        <f>I43</f>
        <v>0</v>
      </c>
      <c r="E43" s="166"/>
      <c r="F43" s="166"/>
      <c r="G43" s="166"/>
      <c r="H43" s="168"/>
      <c r="I43" s="166">
        <v>0</v>
      </c>
      <c r="J43" s="161"/>
      <c r="K43" s="161" t="s">
        <v>207</v>
      </c>
      <c r="L43" s="161"/>
      <c r="M43" s="162"/>
    </row>
    <row r="44" spans="1:13" ht="35.25" customHeight="1">
      <c r="A44" s="161"/>
      <c r="B44" s="161"/>
      <c r="C44" s="161">
        <v>2018</v>
      </c>
      <c r="D44" s="166">
        <f aca="true" t="shared" si="6" ref="D44:D46">SUM(E44:I44)</f>
        <v>0</v>
      </c>
      <c r="E44" s="166"/>
      <c r="F44" s="166"/>
      <c r="G44" s="166"/>
      <c r="H44" s="168"/>
      <c r="I44" s="166">
        <v>0</v>
      </c>
      <c r="J44" s="161"/>
      <c r="K44" s="161"/>
      <c r="L44" s="161"/>
      <c r="M44" s="162"/>
    </row>
    <row r="45" spans="1:13" ht="35.25" customHeight="1">
      <c r="A45" s="161"/>
      <c r="B45" s="161"/>
      <c r="C45" s="161">
        <v>2019</v>
      </c>
      <c r="D45" s="166">
        <f t="shared" si="6"/>
        <v>0</v>
      </c>
      <c r="E45" s="166"/>
      <c r="F45" s="166"/>
      <c r="G45" s="166"/>
      <c r="H45" s="168"/>
      <c r="I45" s="166">
        <v>0</v>
      </c>
      <c r="J45" s="161"/>
      <c r="K45" s="161"/>
      <c r="L45" s="161"/>
      <c r="M45" s="162"/>
    </row>
    <row r="46" spans="1:13" ht="35.25" customHeight="1">
      <c r="A46" s="161"/>
      <c r="B46" s="161"/>
      <c r="C46" s="170">
        <v>2020</v>
      </c>
      <c r="D46" s="166">
        <f t="shared" si="6"/>
        <v>0</v>
      </c>
      <c r="E46" s="166"/>
      <c r="F46" s="166"/>
      <c r="G46" s="166"/>
      <c r="H46" s="168"/>
      <c r="I46" s="166">
        <v>0</v>
      </c>
      <c r="J46" s="161"/>
      <c r="K46" s="161"/>
      <c r="L46" s="161"/>
      <c r="M46" s="162"/>
    </row>
    <row r="47" spans="1:13" ht="35.25" customHeight="1">
      <c r="A47" s="161" t="s">
        <v>225</v>
      </c>
      <c r="B47" s="161" t="s">
        <v>226</v>
      </c>
      <c r="C47" s="170">
        <v>2017</v>
      </c>
      <c r="D47" s="166">
        <f>I47</f>
        <v>0</v>
      </c>
      <c r="E47" s="166"/>
      <c r="F47" s="166"/>
      <c r="G47" s="166"/>
      <c r="H47" s="168"/>
      <c r="I47" s="166">
        <v>0</v>
      </c>
      <c r="J47" s="161"/>
      <c r="K47" s="161" t="s">
        <v>207</v>
      </c>
      <c r="L47" s="161"/>
      <c r="M47" s="162"/>
    </row>
    <row r="48" spans="1:13" ht="35.25" customHeight="1">
      <c r="A48" s="161"/>
      <c r="B48" s="161"/>
      <c r="C48" s="161">
        <v>2018</v>
      </c>
      <c r="D48" s="166">
        <f aca="true" t="shared" si="7" ref="D48:D50">SUM(E48:I48)</f>
        <v>0</v>
      </c>
      <c r="E48" s="166"/>
      <c r="F48" s="166"/>
      <c r="G48" s="166"/>
      <c r="H48" s="168"/>
      <c r="I48" s="166">
        <v>0</v>
      </c>
      <c r="J48" s="161"/>
      <c r="K48" s="161"/>
      <c r="L48" s="161"/>
      <c r="M48" s="162"/>
    </row>
    <row r="49" spans="1:13" ht="35.25" customHeight="1">
      <c r="A49" s="161"/>
      <c r="B49" s="161"/>
      <c r="C49" s="161">
        <v>2019</v>
      </c>
      <c r="D49" s="166">
        <f t="shared" si="7"/>
        <v>0</v>
      </c>
      <c r="E49" s="166"/>
      <c r="F49" s="166"/>
      <c r="G49" s="166"/>
      <c r="H49" s="168"/>
      <c r="I49" s="166">
        <v>0</v>
      </c>
      <c r="J49" s="161"/>
      <c r="K49" s="161"/>
      <c r="L49" s="161"/>
      <c r="M49" s="162"/>
    </row>
    <row r="50" spans="1:13" ht="35.25" customHeight="1">
      <c r="A50" s="161"/>
      <c r="B50" s="161"/>
      <c r="C50" s="170">
        <v>2020</v>
      </c>
      <c r="D50" s="166">
        <f t="shared" si="7"/>
        <v>0</v>
      </c>
      <c r="E50" s="166"/>
      <c r="F50" s="166"/>
      <c r="G50" s="166"/>
      <c r="H50" s="168"/>
      <c r="I50" s="166">
        <v>0</v>
      </c>
      <c r="J50" s="161"/>
      <c r="K50" s="161"/>
      <c r="L50" s="161"/>
      <c r="M50" s="162"/>
    </row>
    <row r="51" spans="1:13" ht="35.25" customHeight="1">
      <c r="A51" s="161" t="s">
        <v>227</v>
      </c>
      <c r="B51" s="161" t="s">
        <v>228</v>
      </c>
      <c r="C51" s="170">
        <v>2017</v>
      </c>
      <c r="D51" s="166">
        <f>I51</f>
        <v>0</v>
      </c>
      <c r="E51" s="166"/>
      <c r="F51" s="166"/>
      <c r="G51" s="166"/>
      <c r="H51" s="168"/>
      <c r="I51" s="166">
        <v>0</v>
      </c>
      <c r="J51" s="161"/>
      <c r="K51" s="161" t="s">
        <v>207</v>
      </c>
      <c r="L51" s="161"/>
      <c r="M51" s="162"/>
    </row>
    <row r="52" spans="1:13" ht="35.25" customHeight="1">
      <c r="A52" s="161"/>
      <c r="B52" s="161"/>
      <c r="C52" s="161">
        <v>2018</v>
      </c>
      <c r="D52" s="166">
        <f aca="true" t="shared" si="8" ref="D52:D54">SUM(E52:I52)</f>
        <v>0</v>
      </c>
      <c r="E52" s="166"/>
      <c r="F52" s="166"/>
      <c r="G52" s="166"/>
      <c r="H52" s="168"/>
      <c r="I52" s="166">
        <v>0</v>
      </c>
      <c r="J52" s="161"/>
      <c r="K52" s="161"/>
      <c r="L52" s="161"/>
      <c r="M52" s="162"/>
    </row>
    <row r="53" spans="1:13" ht="35.25" customHeight="1">
      <c r="A53" s="161"/>
      <c r="B53" s="161"/>
      <c r="C53" s="161">
        <v>2019</v>
      </c>
      <c r="D53" s="166">
        <f t="shared" si="8"/>
        <v>0</v>
      </c>
      <c r="E53" s="166"/>
      <c r="F53" s="166"/>
      <c r="G53" s="166"/>
      <c r="H53" s="168"/>
      <c r="I53" s="166">
        <v>0</v>
      </c>
      <c r="J53" s="161"/>
      <c r="K53" s="161"/>
      <c r="L53" s="161"/>
      <c r="M53" s="162"/>
    </row>
    <row r="54" spans="1:13" ht="35.25" customHeight="1">
      <c r="A54" s="161"/>
      <c r="B54" s="161"/>
      <c r="C54" s="170">
        <v>2020</v>
      </c>
      <c r="D54" s="166">
        <f t="shared" si="8"/>
        <v>0</v>
      </c>
      <c r="E54" s="166"/>
      <c r="F54" s="166"/>
      <c r="G54" s="166"/>
      <c r="H54" s="168"/>
      <c r="I54" s="166">
        <v>0</v>
      </c>
      <c r="J54" s="161"/>
      <c r="K54" s="161"/>
      <c r="L54" s="161"/>
      <c r="M54" s="162"/>
    </row>
    <row r="55" spans="1:13" ht="35.25" customHeight="1">
      <c r="A55" s="161" t="s">
        <v>229</v>
      </c>
      <c r="B55" s="161" t="s">
        <v>230</v>
      </c>
      <c r="C55" s="170">
        <v>2017</v>
      </c>
      <c r="D55" s="166">
        <f>I55</f>
        <v>0</v>
      </c>
      <c r="E55" s="166"/>
      <c r="F55" s="166"/>
      <c r="G55" s="166"/>
      <c r="H55" s="168"/>
      <c r="I55" s="166">
        <v>0</v>
      </c>
      <c r="J55" s="161"/>
      <c r="K55" s="161" t="s">
        <v>207</v>
      </c>
      <c r="L55" s="161"/>
      <c r="M55" s="162"/>
    </row>
    <row r="56" spans="1:13" ht="35.25" customHeight="1">
      <c r="A56" s="161"/>
      <c r="B56" s="161"/>
      <c r="C56" s="161">
        <v>2018</v>
      </c>
      <c r="D56" s="166">
        <f aca="true" t="shared" si="9" ref="D56:D58">SUM(E56:I56)</f>
        <v>0</v>
      </c>
      <c r="E56" s="166"/>
      <c r="F56" s="166"/>
      <c r="G56" s="166"/>
      <c r="H56" s="168"/>
      <c r="I56" s="166">
        <v>0</v>
      </c>
      <c r="J56" s="161"/>
      <c r="K56" s="161"/>
      <c r="L56" s="161"/>
      <c r="M56" s="162"/>
    </row>
    <row r="57" spans="1:13" ht="35.25" customHeight="1">
      <c r="A57" s="161"/>
      <c r="B57" s="161"/>
      <c r="C57" s="161">
        <v>2019</v>
      </c>
      <c r="D57" s="166">
        <f t="shared" si="9"/>
        <v>0</v>
      </c>
      <c r="E57" s="166"/>
      <c r="F57" s="166"/>
      <c r="G57" s="166"/>
      <c r="H57" s="168"/>
      <c r="I57" s="166">
        <v>0</v>
      </c>
      <c r="J57" s="161"/>
      <c r="K57" s="161"/>
      <c r="L57" s="161"/>
      <c r="M57" s="162"/>
    </row>
    <row r="58" spans="1:13" ht="35.25" customHeight="1">
      <c r="A58" s="161"/>
      <c r="B58" s="161"/>
      <c r="C58" s="170">
        <v>2020</v>
      </c>
      <c r="D58" s="166">
        <f t="shared" si="9"/>
        <v>0</v>
      </c>
      <c r="E58" s="166"/>
      <c r="F58" s="166"/>
      <c r="G58" s="166"/>
      <c r="H58" s="168"/>
      <c r="I58" s="166">
        <v>0</v>
      </c>
      <c r="J58" s="161"/>
      <c r="K58" s="161"/>
      <c r="L58" s="161"/>
      <c r="M58" s="162"/>
    </row>
    <row r="59" spans="1:13" ht="35.25" customHeight="1">
      <c r="A59" s="161" t="s">
        <v>231</v>
      </c>
      <c r="B59" s="161" t="s">
        <v>232</v>
      </c>
      <c r="C59" s="170">
        <v>2017</v>
      </c>
      <c r="D59" s="166">
        <f>I59</f>
        <v>0</v>
      </c>
      <c r="E59" s="166"/>
      <c r="F59" s="166"/>
      <c r="G59" s="166"/>
      <c r="H59" s="168"/>
      <c r="I59" s="166">
        <v>0</v>
      </c>
      <c r="J59" s="161"/>
      <c r="K59" s="161" t="s">
        <v>207</v>
      </c>
      <c r="L59" s="161"/>
      <c r="M59" s="162"/>
    </row>
    <row r="60" spans="1:13" ht="35.25" customHeight="1">
      <c r="A60" s="161"/>
      <c r="B60" s="161"/>
      <c r="C60" s="161">
        <v>2018</v>
      </c>
      <c r="D60" s="166">
        <f aca="true" t="shared" si="10" ref="D60:D62">SUM(E60:I60)</f>
        <v>0</v>
      </c>
      <c r="E60" s="166"/>
      <c r="F60" s="166"/>
      <c r="G60" s="166"/>
      <c r="H60" s="168"/>
      <c r="I60" s="166">
        <v>0</v>
      </c>
      <c r="J60" s="161"/>
      <c r="K60" s="161"/>
      <c r="L60" s="161"/>
      <c r="M60" s="162"/>
    </row>
    <row r="61" spans="1:13" ht="35.25" customHeight="1">
      <c r="A61" s="161"/>
      <c r="B61" s="161"/>
      <c r="C61" s="161">
        <v>2019</v>
      </c>
      <c r="D61" s="166">
        <f t="shared" si="10"/>
        <v>0</v>
      </c>
      <c r="E61" s="166"/>
      <c r="F61" s="166"/>
      <c r="G61" s="166"/>
      <c r="H61" s="168"/>
      <c r="I61" s="166">
        <v>0</v>
      </c>
      <c r="J61" s="161"/>
      <c r="K61" s="161"/>
      <c r="L61" s="161"/>
      <c r="M61" s="162"/>
    </row>
    <row r="62" spans="1:13" ht="35.25" customHeight="1">
      <c r="A62" s="161"/>
      <c r="B62" s="161"/>
      <c r="C62" s="170">
        <v>2020</v>
      </c>
      <c r="D62" s="166">
        <f t="shared" si="10"/>
        <v>0</v>
      </c>
      <c r="E62" s="166"/>
      <c r="F62" s="166"/>
      <c r="G62" s="166"/>
      <c r="H62" s="168"/>
      <c r="I62" s="166">
        <v>0</v>
      </c>
      <c r="J62" s="161"/>
      <c r="K62" s="161"/>
      <c r="L62" s="161"/>
      <c r="M62" s="162"/>
    </row>
    <row r="63" spans="1:13" ht="16.5" customHeight="1">
      <c r="A63" s="161"/>
      <c r="B63" s="164" t="s">
        <v>233</v>
      </c>
      <c r="C63" s="170">
        <v>2017</v>
      </c>
      <c r="D63" s="166">
        <f>I63</f>
        <v>13.1</v>
      </c>
      <c r="E63" s="166">
        <v>0</v>
      </c>
      <c r="F63" s="166"/>
      <c r="G63" s="166"/>
      <c r="H63" s="166">
        <v>0</v>
      </c>
      <c r="I63" s="166">
        <f>I17+I22+I31+I35+I39+I43+I47+I51+I55+I59</f>
        <v>13.1</v>
      </c>
      <c r="J63" s="175"/>
      <c r="K63" s="177"/>
      <c r="L63" s="178"/>
      <c r="M63" s="179"/>
    </row>
    <row r="64" spans="1:13" ht="16.5">
      <c r="A64" s="161"/>
      <c r="B64" s="164"/>
      <c r="C64" s="161">
        <v>2018</v>
      </c>
      <c r="D64" s="166">
        <f aca="true" t="shared" si="11" ref="D64:D66">SUM(E64:I64)</f>
        <v>13.100000000000001</v>
      </c>
      <c r="E64" s="166">
        <f aca="true" t="shared" si="12" ref="E64:E66">SUM(E18+E23)</f>
        <v>0</v>
      </c>
      <c r="F64" s="166"/>
      <c r="G64" s="166"/>
      <c r="H64" s="166">
        <f aca="true" t="shared" si="13" ref="H64:H66">SUM(H18+H23)</f>
        <v>0</v>
      </c>
      <c r="I64" s="166">
        <f aca="true" t="shared" si="14" ref="I64:I66">SUM(I18+I23+I32+I36+I40+I44+I48+I52+I56+I60)</f>
        <v>13.100000000000001</v>
      </c>
      <c r="J64" s="161"/>
      <c r="K64" s="161"/>
      <c r="L64" s="161"/>
      <c r="M64" s="180"/>
    </row>
    <row r="65" spans="1:13" ht="16.5">
      <c r="A65" s="161"/>
      <c r="B65" s="164"/>
      <c r="C65" s="161">
        <v>2019</v>
      </c>
      <c r="D65" s="166">
        <f t="shared" si="11"/>
        <v>13.100000000000001</v>
      </c>
      <c r="E65" s="181">
        <f t="shared" si="12"/>
        <v>0</v>
      </c>
      <c r="F65" s="181"/>
      <c r="G65" s="181"/>
      <c r="H65" s="181">
        <f t="shared" si="13"/>
        <v>0</v>
      </c>
      <c r="I65" s="181">
        <f t="shared" si="14"/>
        <v>13.100000000000001</v>
      </c>
      <c r="J65" s="161"/>
      <c r="K65" s="161"/>
      <c r="L65" s="161"/>
      <c r="M65" s="180"/>
    </row>
    <row r="66" spans="1:13" ht="16.5">
      <c r="A66" s="161"/>
      <c r="B66" s="164"/>
      <c r="C66" s="170">
        <v>2020</v>
      </c>
      <c r="D66" s="166">
        <f t="shared" si="11"/>
        <v>13.100000000000001</v>
      </c>
      <c r="E66" s="166">
        <f t="shared" si="12"/>
        <v>0</v>
      </c>
      <c r="F66" s="166"/>
      <c r="G66" s="166"/>
      <c r="H66" s="166">
        <f t="shared" si="13"/>
        <v>0</v>
      </c>
      <c r="I66" s="166">
        <f t="shared" si="14"/>
        <v>13.100000000000001</v>
      </c>
      <c r="J66" s="161"/>
      <c r="K66" s="161"/>
      <c r="L66" s="161"/>
      <c r="M66" s="180"/>
    </row>
    <row r="67" spans="1:13" ht="16.5">
      <c r="A67" s="161"/>
      <c r="B67" s="164"/>
      <c r="C67" s="161" t="s">
        <v>165</v>
      </c>
      <c r="D67" s="182">
        <f>SUM(D63+D64+D65+D66)</f>
        <v>52.400000000000006</v>
      </c>
      <c r="E67" s="182">
        <f>SUM(E64:E66)</f>
        <v>0</v>
      </c>
      <c r="F67" s="182"/>
      <c r="G67" s="182"/>
      <c r="H67" s="182">
        <f>SUM(H64:H66)</f>
        <v>0</v>
      </c>
      <c r="I67" s="182">
        <f>SUM(I63+I64+I65+I66)</f>
        <v>52.400000000000006</v>
      </c>
      <c r="J67" s="161"/>
      <c r="K67" s="161"/>
      <c r="L67" s="161"/>
      <c r="M67" s="180"/>
    </row>
  </sheetData>
  <sheetProtection selectLockedCells="1" selectUnlockedCells="1"/>
  <mergeCells count="75">
    <mergeCell ref="B1:M1"/>
    <mergeCell ref="B2:M2"/>
    <mergeCell ref="L3:M3"/>
    <mergeCell ref="L4:M4"/>
    <mergeCell ref="A7:M7"/>
    <mergeCell ref="A8:A13"/>
    <mergeCell ref="B8:B13"/>
    <mergeCell ref="C8:C13"/>
    <mergeCell ref="D8:D13"/>
    <mergeCell ref="E8:I9"/>
    <mergeCell ref="J8:J13"/>
    <mergeCell ref="K8:L13"/>
    <mergeCell ref="M8:M13"/>
    <mergeCell ref="E10:E13"/>
    <mergeCell ref="F10:I10"/>
    <mergeCell ref="F11:H11"/>
    <mergeCell ref="I11:I13"/>
    <mergeCell ref="F12:F13"/>
    <mergeCell ref="G12:H12"/>
    <mergeCell ref="K14:L14"/>
    <mergeCell ref="A15:M15"/>
    <mergeCell ref="A16:M16"/>
    <mergeCell ref="A17:A20"/>
    <mergeCell ref="B17:B20"/>
    <mergeCell ref="K17:L20"/>
    <mergeCell ref="M17:M20"/>
    <mergeCell ref="J18:J20"/>
    <mergeCell ref="A21:M21"/>
    <mergeCell ref="A22:A25"/>
    <mergeCell ref="B22:B25"/>
    <mergeCell ref="J22:J25"/>
    <mergeCell ref="K22:L25"/>
    <mergeCell ref="M22:M25"/>
    <mergeCell ref="A26:M26"/>
    <mergeCell ref="A27:A30"/>
    <mergeCell ref="B27:B30"/>
    <mergeCell ref="J27:J30"/>
    <mergeCell ref="K27:L30"/>
    <mergeCell ref="M27:M62"/>
    <mergeCell ref="A31:A34"/>
    <mergeCell ref="B31:B34"/>
    <mergeCell ref="J31:J34"/>
    <mergeCell ref="K31:L34"/>
    <mergeCell ref="A35:A38"/>
    <mergeCell ref="B35:B38"/>
    <mergeCell ref="K35:L38"/>
    <mergeCell ref="J36:J38"/>
    <mergeCell ref="A39:A42"/>
    <mergeCell ref="B39:B42"/>
    <mergeCell ref="J39:J42"/>
    <mergeCell ref="K39:L42"/>
    <mergeCell ref="A43:A46"/>
    <mergeCell ref="B43:B46"/>
    <mergeCell ref="J43:J46"/>
    <mergeCell ref="K43:L46"/>
    <mergeCell ref="A47:A50"/>
    <mergeCell ref="B47:B50"/>
    <mergeCell ref="J47:J50"/>
    <mergeCell ref="K47:L50"/>
    <mergeCell ref="A51:A54"/>
    <mergeCell ref="B51:B54"/>
    <mergeCell ref="J51:J54"/>
    <mergeCell ref="K51:L54"/>
    <mergeCell ref="A55:A58"/>
    <mergeCell ref="B55:B58"/>
    <mergeCell ref="J55:J58"/>
    <mergeCell ref="K55:L58"/>
    <mergeCell ref="A59:A62"/>
    <mergeCell ref="B59:B62"/>
    <mergeCell ref="J59:J62"/>
    <mergeCell ref="K59:L62"/>
    <mergeCell ref="A63:A67"/>
    <mergeCell ref="B63:B67"/>
    <mergeCell ref="K64:L67"/>
    <mergeCell ref="M64:M6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2018-07-30T11:46:56Z</cp:lastPrinted>
  <dcterms:created xsi:type="dcterms:W3CDTF">2014-10-21T12:29:03Z</dcterms:created>
  <dcterms:modified xsi:type="dcterms:W3CDTF">2019-05-16T07:02:38Z</dcterms:modified>
  <cp:category/>
  <cp:version/>
  <cp:contentType/>
  <cp:contentStatus/>
  <cp:revision>5</cp:revision>
</cp:coreProperties>
</file>