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 обеспечение" sheetId="1" r:id="rId1"/>
    <sheet name="под. культура" sheetId="2" state="hidden" r:id="rId2"/>
    <sheet name="подпр Физ и спорт" sheetId="3" state="hidden" r:id="rId3"/>
    <sheet name="подпр Прав культ" sheetId="4" state="hidden" r:id="rId4"/>
    <sheet name="нац политика" sheetId="5" state="hidden" r:id="rId5"/>
  </sheets>
  <definedNames>
    <definedName name="_xlnm.Print_Area" localSheetId="4">'нац политика'!$A$1:$L$47</definedName>
    <definedName name="_xlnm.Print_Area" localSheetId="1">'под. культура'!$A$2:$M$789</definedName>
    <definedName name="Excel_BuiltIn_Print_Area" localSheetId="1">'под. культура'!$A$2:$M$789</definedName>
    <definedName name="Excel_BuiltIn_Print_Area" localSheetId="4">'нац политика'!$A$1:$L$47</definedName>
  </definedNames>
  <calcPr fullCalcOnLoad="1"/>
</workbook>
</file>

<file path=xl/sharedStrings.xml><?xml version="1.0" encoding="utf-8"?>
<sst xmlns="http://schemas.openxmlformats.org/spreadsheetml/2006/main" count="603" uniqueCount="395">
  <si>
    <t>Приложение к программе</t>
  </si>
  <si>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</si>
  <si>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</si>
  <si>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</si>
  <si>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</si>
  <si>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 xml:space="preserve">Объем финанси-рования </t>
  </si>
  <si>
    <t>Вне-бюджетные средства</t>
  </si>
  <si>
    <t>Исполнители, соисполнители, ответственные за реализацию программы</t>
  </si>
  <si>
    <t>(тыс. руб.)</t>
  </si>
  <si>
    <t>Субвен-ции</t>
  </si>
  <si>
    <t>Собственные доходы</t>
  </si>
  <si>
    <t>Субсии, иные межбюджетные трансферты</t>
  </si>
  <si>
    <t xml:space="preserve">Другие собственные доходы </t>
  </si>
  <si>
    <t>Всего</t>
  </si>
  <si>
    <t>в том числе</t>
  </si>
  <si>
    <t>из федерального бюджета</t>
  </si>
  <si>
    <t>из областного бюджета</t>
  </si>
  <si>
    <t>1.</t>
  </si>
  <si>
    <t>Муниципальная Программа «Культура, спорт  и национальная политика  на территории ЗАТО г.Радужный Владимирской области»</t>
  </si>
  <si>
    <t>МКУ «Комитет по культуре и спорту» ЗАТО г.Радужный Владимирской области</t>
  </si>
  <si>
    <t>ИТОГО по Программе</t>
  </si>
  <si>
    <t>2017-2024 годы</t>
  </si>
  <si>
    <t>1.1.</t>
  </si>
  <si>
    <t>Муниципальная подпрограмма «Культура на территории  ЗАТО г.Радужный Владимирской области»</t>
  </si>
  <si>
    <t>Итого по Подпрограмме</t>
  </si>
  <si>
    <t>2017-2024годы</t>
  </si>
  <si>
    <t>1.2.</t>
  </si>
  <si>
    <t>Муниципальная подпрограмма «Развитие физической культуры и спорта на территории   ЗАТО г.Радужный Владимирской области»</t>
  </si>
  <si>
    <t>Итого по подпрограмме</t>
  </si>
  <si>
    <t>1.3.</t>
  </si>
  <si>
    <t>Муниципальная подпрограмма «Повышение правовой культуры населения на территории  ЗАТО г. Радужный Владимирской области»</t>
  </si>
  <si>
    <t>1.4.</t>
  </si>
  <si>
    <t>Муниципальная подпрограмма "Укрепление единства российской нации и этнокультурное развитие народов на территории  ЗАТО г. Радужный Владимирской области"</t>
  </si>
  <si>
    <t>2020-2024 годы</t>
  </si>
  <si>
    <t xml:space="preserve"> к муниципальной подпрограмме  №2</t>
  </si>
  <si>
    <t>«Культура ЗАТО г.Радужный Владимирской области»</t>
  </si>
  <si>
    <t>Перечень мероприятий муниципальной подпрограммы "Культура на территории   ЗАТО г.Радужный Владимирской области"</t>
  </si>
  <si>
    <t>№        п/п</t>
  </si>
  <si>
    <t>Наименование мероприятий</t>
  </si>
  <si>
    <t>Объем финансирования (тыс.руб.)</t>
  </si>
  <si>
    <t>В том числе</t>
  </si>
  <si>
    <t>Внебюджетные средства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</si>
  <si>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</si>
  <si>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</si>
  <si>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Субвенции</t>
  </si>
  <si>
    <t>Субсидии, иные межбюджетные трансферты</t>
  </si>
  <si>
    <t>Другие собственные доходы</t>
  </si>
  <si>
    <t xml:space="preserve">из облостного бюджета </t>
  </si>
  <si>
    <t>I. Организация досуга населения</t>
  </si>
  <si>
    <t>Цели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</si>
  <si>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</si>
  <si>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Задачи</t>
  </si>
  <si>
    <t>Организация библиотечного обслуживания.Поддержка молодых дарований, самодеятельного творчества.</t>
  </si>
  <si>
    <t>Комплектование книжного фонда МБУК «Общедоступная библиотека ЗАТО г.Радужный»</t>
  </si>
  <si>
    <t>МКУ "Комитет по культуре и спорту"</t>
  </si>
  <si>
    <t>Улучшение библиотечного обслуживания</t>
  </si>
  <si>
    <t>Внедрение информационных технологий в процесс библиотечного обслуживания, приобритение запчастей для оргтехники МБУК «Общедоступная библиотека ЗАТО г.Радужный»</t>
  </si>
  <si>
    <t>Организация и проведение городских творческих конкурсов и выставок детского творчества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</si>
  <si>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</si>
  <si>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Участие юных дарований в областных, региональных и международных конкурсах, выставках, фестивалях</t>
  </si>
  <si>
    <t>МКУ «Комитет по культуре и спорту»</t>
  </si>
  <si>
    <t>Повышение уровня исполнительского мастерства</t>
  </si>
  <si>
    <t>1.5.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</si>
  <si>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</si>
  <si>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</si>
  <si>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 xml:space="preserve">МКУ "Комитет по культуре и спорту" ; МБУК ПКиО г. Радужный </t>
  </si>
  <si>
    <t>1.6.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</si>
  <si>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</si>
  <si>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Патриотическое воспитание, организация досуга населения</t>
  </si>
  <si>
    <t>МКУ «Комитет по культуре и спорту»   ; МБУДО ДШИ</t>
  </si>
  <si>
    <t xml:space="preserve"> </t>
  </si>
  <si>
    <t>1.7.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</si>
  <si>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</si>
  <si>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</si>
  <si>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1.8.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</si>
  <si>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</si>
  <si>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</si>
  <si>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1.9.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</si>
  <si>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</si>
  <si>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</si>
  <si>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1.10.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</si>
  <si>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</si>
  <si>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</si>
  <si>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1.11</t>
  </si>
  <si>
    <t>Проведение мероприятий по празднованию Дня города</t>
  </si>
  <si>
    <t xml:space="preserve">МБУК ПКиО г. Радужный </t>
  </si>
  <si>
    <t>Патриотическое воспитание, подготовка и празднование юбилея города</t>
  </si>
  <si>
    <t>1.12</t>
  </si>
  <si>
    <t xml:space="preserve">Уборка снега механизированным способом в Парке, экспертная проверка сметной документации, приобритение и обслуживание  биотуалетов </t>
  </si>
  <si>
    <t>Создание условий для сохранения  культурного потенциала муниципального  об-разования</t>
  </si>
  <si>
    <t>1.13</t>
  </si>
  <si>
    <t>Пробретение подаков в честь юбилеев МБУК К/Ц "Досуг" (40 лет) и МБУК "ПКиО"(35 лет)</t>
  </si>
  <si>
    <t>1.14</t>
  </si>
  <si>
    <t>На приобретение краски дорожной АК-511(белая) 30кг. Для МБУК К/Ц Досуг</t>
  </si>
  <si>
    <t>1.15.</t>
  </si>
  <si>
    <t>На приобретение электрогирлянды и елочные украшение для украшение для украшение елки на территории городского парка</t>
  </si>
  <si>
    <t>1.16.</t>
  </si>
  <si>
    <t>Проведение праздничных мероприятий, посвященных 75-летию Победы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</si>
  <si>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</si>
  <si>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Итого по мероприятию</t>
  </si>
  <si>
    <t>II. Укрепление материальной базы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</si>
  <si>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</si>
  <si>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</si>
  <si>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Ремонты учреждений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</si>
  <si>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</si>
  <si>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2.1.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</si>
  <si>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</si>
  <si>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МКУ  ГКМХ</t>
  </si>
  <si>
    <t>МБУК ЦДМ</t>
  </si>
  <si>
    <t>2.2.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</si>
  <si>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</si>
  <si>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МБУК МСДЦ</t>
  </si>
  <si>
    <t>2.3.</t>
  </si>
  <si>
    <t>Благоустройство территории вокруг "Кристалла", около стеллы ( с дроблением порубочных сотатков).</t>
  </si>
  <si>
    <t>МКУ ГКМХ</t>
  </si>
  <si>
    <t>2.4.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</si>
  <si>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</si>
  <si>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МБУ ДО "ДШИ"</t>
  </si>
  <si>
    <t>2.5.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</si>
  <si>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</si>
  <si>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МБУК ПКиО</t>
  </si>
  <si>
    <t>2.6.</t>
  </si>
  <si>
    <t>Обследование несущих конструкций МБОУДО ДЮСШ(с бассейном и спортзалом)и МБОУДО ДЮСШ "Кристалл"</t>
  </si>
  <si>
    <t>МБОУДОД  ДЮСШ</t>
  </si>
  <si>
    <t>2.7.</t>
  </si>
  <si>
    <t>Установка экрана уличного светодиодного 3840х8000мм.; установка видионаблюдения на площади у МБУК " МСДЦ" 1 квартал.</t>
  </si>
  <si>
    <t>2.8.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</si>
  <si>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</si>
  <si>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2.9.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</si>
  <si>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</si>
  <si>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2.10.</t>
  </si>
  <si>
    <t>Оборудование места массового пребывания людей ограждением 2 класса защиты(установка ограждений  в учреждении МБУ ДО "ДШИ")</t>
  </si>
  <si>
    <t>2.11.</t>
  </si>
  <si>
    <t>Оснащение зданий по требованиям пожарной безопастности в бюджетных учрежениях</t>
  </si>
  <si>
    <t>МБУДО ДШИ</t>
  </si>
  <si>
    <t>МБОУДОД ДЮСШ</t>
  </si>
  <si>
    <t>ГКМХ</t>
  </si>
  <si>
    <t>2.12.</t>
  </si>
  <si>
    <t>Установка кондиционеров в киноаппаратной и зрительном зале в МБУК "ЦДМ"</t>
  </si>
  <si>
    <t>2.13.</t>
  </si>
  <si>
    <t>Ремонт в учреждение МБУК "ЦДМ" ( в киноаппаратной и туалетов)</t>
  </si>
  <si>
    <t>ЦДМ</t>
  </si>
  <si>
    <t>2.14.</t>
  </si>
  <si>
    <t>Приобритение основных средств (баяна для хора, кондиционеры)</t>
  </si>
  <si>
    <t>МБУК К/Ц Досуг</t>
  </si>
  <si>
    <t>2.15.</t>
  </si>
  <si>
    <t>Текуший ремонт пола зрительного зала и сцены МБУК ЦДМ.</t>
  </si>
  <si>
    <t>2.16.</t>
  </si>
  <si>
    <t>Замена линолиума в здании МБУДО ДШИ, текуший ремонт ступеней и тамбура главного входа в МБУДО ДШИ.</t>
  </si>
  <si>
    <t>2.17.</t>
  </si>
  <si>
    <t>Текущий ремонт душевой кабинки и тренажерного зала в Кристале. Текущий ремонт лыжной базы.</t>
  </si>
  <si>
    <t>2.18.</t>
  </si>
  <si>
    <t>Приобритение основных средств (стелажей) в МБУК "Библиотеки"</t>
  </si>
  <si>
    <t>МБУК  «Общедоступная библиотека»</t>
  </si>
  <si>
    <t>2.19.</t>
  </si>
  <si>
    <t>Замена входных и внутрених дверей, ремонт оконных рам в здании МБУК К/Ц Досуг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</si>
  <si>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</si>
  <si>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</si>
  <si>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2.21.</t>
  </si>
  <si>
    <t>Благоустройство спортивных площадок, расположенных за с/к "Кристалл" с заменой ограждения теннисных кортов</t>
  </si>
  <si>
    <t>МКУ "ГКМХ"</t>
  </si>
  <si>
    <t>2.22.</t>
  </si>
  <si>
    <t>Текущий ремонт системы отопления в МБУДО "ДШИ"</t>
  </si>
  <si>
    <t>2.23.</t>
  </si>
  <si>
    <t>Переоборудование санузлов для маломобильной категории граждан в МБУК "МСДЦ"</t>
  </si>
  <si>
    <t>2.24.</t>
  </si>
  <si>
    <t>Разработка проектно документации на ремонт фасада МБУК "Досуг"</t>
  </si>
  <si>
    <t>2.25.</t>
  </si>
  <si>
    <t>Текущий ремонт генератора МБУК ЦДМ</t>
  </si>
  <si>
    <t>МБУК "ЦДМ"</t>
  </si>
  <si>
    <t>2.26.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</si>
  <si>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</si>
  <si>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МБОУДО "ДЮСШ"</t>
  </si>
  <si>
    <t>2.27.</t>
  </si>
  <si>
    <t>Модернезация аттракционнов (замена запчасте и установка забора) МБУК "ПКиО"</t>
  </si>
  <si>
    <t>2.28.</t>
  </si>
  <si>
    <t>Ремонт кровли в здании  МБУК КЦ "Досуг"</t>
  </si>
  <si>
    <t>МБУК Досуг</t>
  </si>
  <si>
    <t>2.29.</t>
  </si>
  <si>
    <t>Ремонт помищение "Зеро" (замена пластиковых стеновых панелей на путях эвакуации на негорючие материалы)</t>
  </si>
  <si>
    <t>2.30.</t>
  </si>
  <si>
    <t>Замена оконных блоков в здании  МБУДО "ДШИ"</t>
  </si>
  <si>
    <t>2.31.</t>
  </si>
  <si>
    <t xml:space="preserve">Усторойство навеса в аппараной, замена дверных блоков  и текущий ремонт коридора в клубе  "Зеро", </t>
  </si>
  <si>
    <t>2.32.</t>
  </si>
  <si>
    <t>Изготовление скульптурного бюста, посвященного Косьминову И.С.</t>
  </si>
  <si>
    <t>МБУК "ПКиО"</t>
  </si>
  <si>
    <t>2.33.</t>
  </si>
  <si>
    <t>Эксплатация светодиодного экрана  у здания МБУК "МСДЦ"</t>
  </si>
  <si>
    <t>2.34.</t>
  </si>
  <si>
    <t>Приобритение основных средств (приобретение звуковой и видео аппаратуры.)</t>
  </si>
  <si>
    <t>МБУК "Досуг"</t>
  </si>
  <si>
    <t>2.35.</t>
  </si>
  <si>
    <t>Приобретение материальных запасов( резиновый уплотнители) для теплообменников в здании МБУК "МСДЦ"</t>
  </si>
  <si>
    <t>2.36.</t>
  </si>
  <si>
    <t>Приобритение основных средств (светодиодные прожекторы) для МБУК "ПКиО".</t>
  </si>
  <si>
    <t>2.37.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</si>
  <si>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</si>
  <si>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2.38.</t>
  </si>
  <si>
    <t>Приобритениие металлические  средства разделения потока зрителей в здании МБОУ ДО "ДЮСШ"</t>
  </si>
  <si>
    <t>2.39.</t>
  </si>
  <si>
    <t>Дополнительные работы по мини-футбольному полю( установка бортовойго каменя)в учреждении МБОУ ДО "ДЮСШ"</t>
  </si>
  <si>
    <t>2.40.</t>
  </si>
  <si>
    <t xml:space="preserve">Установка системы пожарной сигнализации в клубе «Зеро» </t>
  </si>
  <si>
    <t>2.41.</t>
  </si>
  <si>
    <t>Приобритение основных средств (светодиодные светильникии и кондиционер).в учреждении МБУК "Библиотека"</t>
  </si>
  <si>
    <t>МБУК "Библиотека"</t>
  </si>
  <si>
    <t>2.42.</t>
  </si>
  <si>
    <t>Текущий ремонт кровли в учреждении  МБОУ ДО "ДЮСШ" (в зданиях греко-римской борьбе и бассейне)</t>
  </si>
  <si>
    <t>2.43.</t>
  </si>
  <si>
    <t xml:space="preserve">Текущий ремонт летней эстрады в 1 квартале  около первой школы </t>
  </si>
  <si>
    <t>2.44.</t>
  </si>
  <si>
    <t>На текущий ремонт парапета( ограждения) на крыще МБУК Досуг</t>
  </si>
  <si>
    <t>2.45.</t>
  </si>
  <si>
    <t>Текущий ремонт откосов и стен в помещение клуба "Зеро"</t>
  </si>
  <si>
    <t>2.46.</t>
  </si>
  <si>
    <t>Текущий ремонт помещений в здание МБУДО ДШИ</t>
  </si>
  <si>
    <t>2.47.</t>
  </si>
  <si>
    <t xml:space="preserve">Подключение наружного освещения для минифутбола к щитовой "Кристалла" </t>
  </si>
  <si>
    <t>2.48.</t>
  </si>
  <si>
    <t>Ремонт отопления в игровом зале ФОК в учреждения МБОУДО "ДЮСШ"</t>
  </si>
  <si>
    <t>2.49.</t>
  </si>
  <si>
    <t>Замена оконных блоков в в кабинетах в здании МБУДО "ДШИ"</t>
  </si>
  <si>
    <t>2.50.</t>
  </si>
  <si>
    <t>Ремонт санузла с учетом доступности для маломобильных граждан, устройство поста вахтера  в учреждении МБУК "ЦДМ"</t>
  </si>
  <si>
    <t>Приобритение основных средств для учреждения (для противожарная обработка сценического занавеса в зрительном и приобритение светового оборудование)</t>
  </si>
  <si>
    <t>МБУК КЦ "Досуг"</t>
  </si>
  <si>
    <t>Текуший ремонты в учреждении МБУК КЦ "Досуг" ( 2020-ремонт потолка в артистической, методическом кабинете, хоровом; ремонт осветительной сети сцены) (2021-  ремонт потолка коридора танцевального класса 2 этажа ,Замена дверного блока).</t>
  </si>
  <si>
    <t xml:space="preserve">Противопожарная пропитка деревянных конструкций сцены 70 м2 в учреждении МБУК "ЦДМ" </t>
  </si>
  <si>
    <t>Приобритение основных средств для учреждения МБУК "Библиотеки" (жалюзи, кулер, стулья-20шт,противопожарное полотно )</t>
  </si>
  <si>
    <t>2.51.</t>
  </si>
  <si>
    <t>Текушии ремонты в учреждение МБОУДО "ДЮСШ" (ПИР на проведения ремонта фасада с/к кристала,замена пожарных шкафов на противопожарные в зале ФОК, ремонт отопление в игровом зале ФОК и т.д )(2021-замена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"Кристалл".)</t>
  </si>
  <si>
    <t>Приобритение основных средств для учреждения МБОУДО "ДЮСШ" (насос для бассейна. станции дозирования, 2 теплообменика для бассейна, робота полесоса для бассейна, бактерицидный облучатель, рециркуляторы.)</t>
  </si>
  <si>
    <t>2.53.</t>
  </si>
  <si>
    <t>Текушии ремонты в учреждение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</si>
  <si>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МБУДО "ДШИ"</t>
  </si>
  <si>
    <t>2.54.</t>
  </si>
  <si>
    <t>Приобритение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</si>
  <si>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2.55.</t>
  </si>
  <si>
    <t>На текущий ремонт в задинии учреждениея МБУК "ЦДМ"(перенос место поста охраны) (2021- текущий ремонт кровли).</t>
  </si>
  <si>
    <t>2.56.</t>
  </si>
  <si>
    <t>Приобритение основных средств для учреждения МБУК "МСДЦ" (рециркуляторы воздуха с УФ-лампой, средство индивидуальной зашиты)( в 2021год -приобритение лавка парковая без спинки - 20 шт)</t>
  </si>
  <si>
    <t>2.57.</t>
  </si>
  <si>
    <t>Приобритение основных средств для учреждения МБУК "ЦДМ"(рециркуляторы и бесконтактные термометры)</t>
  </si>
  <si>
    <t>2.58.</t>
  </si>
  <si>
    <t>Уборка сухостоя и упавших деревьев площадью 1га. В МБУК "ПКиО"</t>
  </si>
  <si>
    <t>2.59,</t>
  </si>
  <si>
    <t>Текуший ремонтор здания МБУК "ЦДМ" (покраска фасада здания)</t>
  </si>
  <si>
    <t>2.60.</t>
  </si>
  <si>
    <t xml:space="preserve">  Федеральный проект "Культурная среда ", национальный проект " Культура "(субсидия на государственную поддержку отрасли культуры на приобритение музыкальных интрументов, оборудования и материалов для детских школ искуств).</t>
  </si>
  <si>
    <t>2.61.</t>
  </si>
  <si>
    <t>На прибритение основных средств и материальных запасов для учреждения МБУК ПКиО (приобритение средст для проведение предворительных выборов)</t>
  </si>
  <si>
    <t>2.62.</t>
  </si>
  <si>
    <t>Текушии ремонты в учреждении МБУК ПКиО( ремонт скейт плашадки)</t>
  </si>
  <si>
    <t>2021-ремонт фасада здания МБОУДО "ДЮСШ" , ремонт катка в 1 квартале между школами;  2022-ремонт фасада здания МБОУДО "ДЮСШ"</t>
  </si>
  <si>
    <t>III. Выполнение управленческих функций, обеспечение стабильной работы подведомственных учреждений:</t>
  </si>
  <si>
    <t>3.1.</t>
  </si>
  <si>
    <t>МКУ «Комитет по культуре и спорту» ЗАТО г.Радужный:</t>
  </si>
  <si>
    <t>МКУ ККиС</t>
  </si>
  <si>
    <t>3.2.</t>
  </si>
  <si>
    <t>Межбюджетные трансферты на создание виртуальных концертных залов</t>
  </si>
  <si>
    <t>IY. Выполнение муниципальных заданий: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</si>
  <si>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</si>
  <si>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</si>
  <si>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4.1.</t>
  </si>
  <si>
    <t xml:space="preserve"> Выполнение муниципального задания в МБУДО ДШИ</t>
  </si>
  <si>
    <t>субсидии на финансовое обеспечение выполнения муниципального задания на оказание муниципальных услуг</t>
  </si>
  <si>
    <t>4.2.</t>
  </si>
  <si>
    <t>Выполнение муниципального задания в МБОУДО ДЮСШ</t>
  </si>
  <si>
    <t>4.3.</t>
  </si>
  <si>
    <t>Выполнение муниципального задания в МБУК К/Ц Досуг</t>
  </si>
  <si>
    <t>4.4.</t>
  </si>
  <si>
    <t>Выполнение муниципального задания в МБУК ЦДМ</t>
  </si>
  <si>
    <t>4.5.</t>
  </si>
  <si>
    <t>Выполнение муниципального задания в МБУК ПКиО</t>
  </si>
  <si>
    <t>4.6.</t>
  </si>
  <si>
    <t>Выполнение муниципального задания в МБУК  «Общедоступная библиотека»</t>
  </si>
  <si>
    <t>4.7.</t>
  </si>
  <si>
    <t>Выполнение муниципального задания в МБУК МСДЦ</t>
  </si>
  <si>
    <t>4.8.</t>
  </si>
  <si>
    <t>Выпонение мунципалных заданиий на 1 квартал 2018 года и 1 квартал 2019 года</t>
  </si>
  <si>
    <t>V. Социальная поддержка населения</t>
  </si>
  <si>
    <t>Осуществление системы мер социальной поддержки работников культуры.</t>
  </si>
  <si>
    <t>5.1.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</si>
  <si>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</si>
  <si>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ВСЕГО ПО ПОДПРОГРАММЕ</t>
  </si>
  <si>
    <t>2017-2024</t>
  </si>
  <si>
    <t>Приложение №3</t>
  </si>
  <si>
    <t xml:space="preserve">к муниципальной подпрограмме </t>
  </si>
  <si>
    <t>«Развитие физической культуры и спорта в ЗАТО г.Радужный»</t>
  </si>
  <si>
    <t>Перечень мероприятий муниципальной подпрограммы «Развитие физической культуры и спорта на территории   ЗАТО г.Радужный Владимирской области»</t>
  </si>
  <si>
    <t>Объем финансирования (тыс. руб.)</t>
  </si>
  <si>
    <t>В том числе:</t>
  </si>
  <si>
    <t>исполнители, ответственные за реализацию подпрограммы</t>
  </si>
  <si>
    <t>Собственные  доходы:</t>
  </si>
  <si>
    <t xml:space="preserve">                           1. Массовый  спорт </t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</si>
  <si>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</si>
  <si>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</si>
  <si>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организация и проведение круглогодичной спартакиады школьников</t>
  </si>
  <si>
    <t>Увеличение количества занимающихся в спортивных секциях, укрепление здоровья учащихся</t>
  </si>
  <si>
    <t xml:space="preserve">МКУ «Комитет 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</si>
  <si>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</si>
  <si>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</si>
  <si>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</si>
  <si>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</si>
  <si>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4.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</si>
  <si>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</si>
  <si>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</si>
  <si>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5.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</si>
  <si>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</si>
  <si>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</si>
  <si>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6.</t>
  </si>
  <si>
    <t>Приобритение спортивного инвентаря для сборных команд ЗАТО г.Радужный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</si>
  <si>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</si>
  <si>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2017-2024г.г.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</si>
  <si>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</si>
  <si>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</si>
  <si>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</si>
  <si>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 xml:space="preserve">создание условий для массовых занятий физической культурой и спортом </t>
  </si>
  <si>
    <t>2.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</si>
  <si>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</si>
  <si>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3.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</si>
  <si>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</si>
  <si>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МБОУДО ДЮСШ</t>
  </si>
  <si>
    <t>Реализация  регионального проекта «Спорт-норма жизни», федерального проекта  «Демография»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</si>
  <si>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</si>
  <si>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</si>
  <si>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>итого по мероприятию №2</t>
  </si>
  <si>
    <t>3. Выполнение муниципальных заданий:</t>
  </si>
  <si>
    <t>Координация деятельности учреждений спорта.  Предоставление дополнительного образования в сфере культуры и спорта.</t>
  </si>
  <si>
    <t xml:space="preserve"> МБОУДО ДЮСШ</t>
  </si>
  <si>
    <t>На содержание обьектов спортивной инфраструктуры муниципальной собственности длоя занятий физической культуры и спорта</t>
  </si>
  <si>
    <t>итого по мероприятию №3</t>
  </si>
  <si>
    <t>ВСЕГО  ПО ПОДПРОГРАММЕ</t>
  </si>
  <si>
    <t>Приложение  №4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</si>
  <si>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</si>
  <si>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</si>
  <si>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</si>
  <si>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Перечень мероприятий муниципальной подпрограммы "Повышение правовой культуры населения на территории   ЗАТО г.Радужный Владимирской области"</t>
  </si>
  <si>
    <t>Наименование мероприятия</t>
  </si>
  <si>
    <t>Объем финансирования (тыс.руб)</t>
  </si>
  <si>
    <t xml:space="preserve">В том числе: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</si>
  <si>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</si>
  <si>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</si>
  <si>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</si>
  <si>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</si>
  <si>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</si>
  <si>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</si>
  <si>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I. Организационно-методическое обеспечение</t>
  </si>
  <si>
    <r>
      <rPr>
        <u val="single"/>
        <sz val="12"/>
        <color indexed="8"/>
        <rFont val="Times New Roman"/>
        <family val="1"/>
      </rP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</si>
  <si>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</si>
  <si>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- управление образования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</si>
  <si>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</si>
  <si>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</si>
  <si>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</si>
  <si>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МБУК "Общедоступная библиотека"</t>
  </si>
  <si>
    <t>Развитие и модернизация центра правовой информации на базе МБУК "Общедоступная библиотека"</t>
  </si>
  <si>
    <t>III. Меры улучшения работы среди населения по правовому просвещению и воспитанию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</si>
  <si>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</si>
  <si>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</si>
  <si>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</si>
  <si>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</si>
  <si>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</si>
  <si>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</si>
  <si>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</si>
  <si>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</si>
  <si>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</si>
  <si>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</si>
  <si>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</si>
  <si>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</si>
  <si>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</si>
  <si>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</si>
  <si>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</si>
  <si>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</si>
  <si>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ИТОГО:</t>
  </si>
  <si>
    <t>Приложение  №5</t>
  </si>
  <si>
    <t>Перечень мероприятий муниципальной подпрограммы "Реализация государственной национальной политики на территории ЗАТО г. Радужный Владимирской области"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</si>
  <si>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</si>
  <si>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</si>
  <si>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</si>
  <si>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>собственные доходы</t>
  </si>
  <si>
    <t>из облостного бюджета</t>
  </si>
  <si>
    <t>I.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 Радужный Владимирской области"</t>
  </si>
  <si>
    <t xml:space="preserve">Цели: 
    - Количество мероприятий и количество их участников, направленных на гармонизацию межэтнических отношений;
    -Доля муниципальных служащих, прошедших курсы повышения квалификации по вопро-сам национальных отношений и миграционной политике¸ в общем количестве муниципаль-ных служащих, процентов;
   -Количество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
</t>
  </si>
  <si>
    <t xml:space="preserve">Задачи:
- Развитие системы повышения этнокультурной компетентности населения и муниципальных служащих;
- Выполнение мероприятий и инициатив, направленных на этнокультурное развитие народов;
- Недопущение фактов незаконной миграции, обеспеченность рынка труда рабочей силой;
- Повышение уровня межведомственного взаимодействия по профилактике терроризма и экстремизма;
- Усиление антитеррористической защищенности объектов социальной сферы;
- Привлечение граждан, негосударственных структур, в том числе СМИ и общественных объединений, для обеспечения максимальнойэффективной деятельности по профилактике проявлений терроризма и экстремизма;
- Проведение воспитательной, пропагандистской работы с населением ЗАТО г. Радужный; 
-Недопущения межнациональных и межконфессиональных конфликтов. 
</t>
  </si>
  <si>
    <t>Совершенствование муниципального управления в сфере государственной национальной политики Российской Федерации.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</si>
  <si>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</si>
  <si>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</si>
  <si>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</si>
  <si>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</si>
  <si>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</si>
  <si>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</si>
  <si>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меропрриятию №1</t>
  </si>
  <si>
    <t>ИТОГО ПО ПОДПРОГРАММЕ:</t>
  </si>
  <si>
    <t>2020-2024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</si>
</sst>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000"/>
    <numFmt numFmtId="166" formatCode="0.0"/>
    <numFmt numFmtId="167" formatCode="0.00"/>
    <numFmt numFmtId="168" formatCode="0"/>
    <numFmt numFmtId="169" formatCode="0.0000"/>
    <numFmt numFmtId="170" formatCode="0.00000"/>
    <numFmt numFmtId="171" formatCode="@"/>
    <numFmt numFmtId="172" formatCode="#,##0.000000"/>
    <numFmt numFmtId="173" formatCode="0.0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Times New Roman"/>
      <family val="1"/>
    </font>
    <font>
      <sz val="10"/>
      <color indexed="10"/>
      <name val="Calibri"/>
      <family val="2"/>
    </font>
    <font>
      <b/>
      <sz val="10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1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4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4" fontId="5" fillId="0" borderId="4" xfId="0" applyFont="1" applyFill="1" applyBorder="1" applyAlignment="1">
      <alignment horizontal="center" vertical="top" wrapText="1"/>
    </xf>
    <xf numFmtId="164" fontId="0" fillId="0" borderId="3" xfId="0" applyFill="1" applyBorder="1" applyAlignment="1">
      <alignment vertical="top" wrapText="1"/>
    </xf>
    <xf numFmtId="164" fontId="5" fillId="0" borderId="5" xfId="0" applyFont="1" applyFill="1" applyBorder="1" applyAlignment="1">
      <alignment vertical="top" wrapText="1"/>
    </xf>
    <xf numFmtId="164" fontId="5" fillId="0" borderId="6" xfId="0" applyFont="1" applyFill="1" applyBorder="1" applyAlignment="1">
      <alignment horizontal="center" vertical="top" wrapText="1"/>
    </xf>
    <xf numFmtId="164" fontId="5" fillId="0" borderId="7" xfId="0" applyFont="1" applyFill="1" applyBorder="1" applyAlignment="1">
      <alignment horizontal="center" vertical="top" wrapText="1"/>
    </xf>
    <xf numFmtId="164" fontId="5" fillId="0" borderId="5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4" fontId="7" fillId="0" borderId="6" xfId="0" applyFont="1" applyFill="1" applyBorder="1" applyAlignment="1">
      <alignment vertical="top" wrapText="1"/>
    </xf>
    <xf numFmtId="164" fontId="7" fillId="0" borderId="6" xfId="0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Fill="1" applyBorder="1" applyAlignment="1">
      <alignment horizontal="center" vertical="top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8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/>
    </xf>
    <xf numFmtId="164" fontId="6" fillId="0" borderId="11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10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164" fontId="11" fillId="0" borderId="0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left" vertical="top" wrapText="1"/>
    </xf>
    <xf numFmtId="167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Fill="1" applyBorder="1" applyAlignment="1">
      <alignment horizontal="center" vertical="top" wrapText="1"/>
    </xf>
    <xf numFmtId="164" fontId="12" fillId="0" borderId="3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vertical="top" wrapText="1"/>
    </xf>
    <xf numFmtId="164" fontId="0" fillId="0" borderId="3" xfId="0" applyFont="1" applyFill="1" applyBorder="1" applyAlignment="1">
      <alignment vertical="top" wrapText="1"/>
    </xf>
    <xf numFmtId="168" fontId="0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vertical="top" wrapText="1"/>
    </xf>
    <xf numFmtId="168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vertical="center" wrapText="1"/>
    </xf>
    <xf numFmtId="165" fontId="15" fillId="0" borderId="3" xfId="0" applyNumberFormat="1" applyFont="1" applyFill="1" applyBorder="1" applyAlignment="1">
      <alignment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165" fontId="16" fillId="0" borderId="3" xfId="0" applyNumberFormat="1" applyFont="1" applyFill="1" applyBorder="1" applyAlignment="1">
      <alignment vertical="top" wrapText="1"/>
    </xf>
    <xf numFmtId="165" fontId="5" fillId="0" borderId="15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/>
    </xf>
    <xf numFmtId="169" fontId="5" fillId="0" borderId="3" xfId="0" applyNumberFormat="1" applyFont="1" applyFill="1" applyBorder="1" applyAlignment="1">
      <alignment horizontal="center" vertical="top" wrapText="1"/>
    </xf>
    <xf numFmtId="165" fontId="5" fillId="0" borderId="12" xfId="0" applyNumberFormat="1" applyFont="1" applyFill="1" applyBorder="1" applyAlignment="1">
      <alignment horizontal="center" vertical="top" wrapText="1"/>
    </xf>
    <xf numFmtId="165" fontId="5" fillId="0" borderId="16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center" vertical="top" wrapText="1"/>
    </xf>
    <xf numFmtId="165" fontId="5" fillId="0" borderId="17" xfId="0" applyNumberFormat="1" applyFont="1" applyFill="1" applyBorder="1" applyAlignment="1">
      <alignment horizontal="center" vertical="top" wrapText="1"/>
    </xf>
    <xf numFmtId="165" fontId="12" fillId="0" borderId="18" xfId="0" applyNumberFormat="1" applyFont="1" applyFill="1" applyBorder="1" applyAlignment="1">
      <alignment horizontal="center" vertical="top" wrapText="1"/>
    </xf>
    <xf numFmtId="168" fontId="12" fillId="0" borderId="11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left" vertical="top" wrapText="1" indent="1"/>
    </xf>
    <xf numFmtId="165" fontId="15" fillId="0" borderId="11" xfId="0" applyNumberFormat="1" applyFont="1" applyFill="1" applyBorder="1" applyAlignment="1">
      <alignment vertical="top" wrapText="1"/>
    </xf>
    <xf numFmtId="168" fontId="12" fillId="0" borderId="3" xfId="0" applyNumberFormat="1" applyFont="1" applyFill="1" applyBorder="1" applyAlignment="1">
      <alignment horizontal="center" vertical="top" wrapText="1"/>
    </xf>
    <xf numFmtId="165" fontId="15" fillId="0" borderId="16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horizontal="left" vertical="top" wrapText="1" indent="1"/>
    </xf>
    <xf numFmtId="165" fontId="6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vertical="top" wrapText="1"/>
    </xf>
    <xf numFmtId="165" fontId="15" fillId="0" borderId="3" xfId="0" applyNumberFormat="1" applyFont="1" applyFill="1" applyBorder="1" applyAlignment="1">
      <alignment horizont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65" fontId="17" fillId="0" borderId="3" xfId="0" applyNumberFormat="1" applyFont="1" applyFill="1" applyBorder="1" applyAlignment="1">
      <alignment horizontal="left" vertical="top" wrapText="1"/>
    </xf>
    <xf numFmtId="165" fontId="17" fillId="0" borderId="3" xfId="0" applyNumberFormat="1" applyFont="1" applyFill="1" applyBorder="1" applyAlignment="1">
      <alignment horizontal="center" vertical="top" wrapText="1"/>
    </xf>
    <xf numFmtId="165" fontId="17" fillId="0" borderId="3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/>
    </xf>
    <xf numFmtId="165" fontId="19" fillId="0" borderId="3" xfId="0" applyNumberFormat="1" applyFont="1" applyFill="1" applyBorder="1" applyAlignment="1">
      <alignment horizontal="left" vertical="center" wrapText="1"/>
    </xf>
    <xf numFmtId="171" fontId="5" fillId="0" borderId="3" xfId="0" applyNumberFormat="1" applyFont="1" applyFill="1" applyBorder="1" applyAlignment="1">
      <alignment horizontal="center" vertical="top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wrapText="1"/>
    </xf>
    <xf numFmtId="165" fontId="12" fillId="0" borderId="12" xfId="0" applyNumberFormat="1" applyFont="1" applyFill="1" applyBorder="1" applyAlignment="1">
      <alignment horizontal="center" vertical="top" wrapText="1"/>
    </xf>
    <xf numFmtId="168" fontId="12" fillId="0" borderId="3" xfId="0" applyNumberFormat="1" applyFont="1" applyFill="1" applyBorder="1" applyAlignment="1">
      <alignment horizontal="center" wrapText="1"/>
    </xf>
    <xf numFmtId="165" fontId="12" fillId="0" borderId="11" xfId="0" applyNumberFormat="1" applyFont="1" applyFill="1" applyBorder="1" applyAlignment="1">
      <alignment horizontal="center" wrapText="1"/>
    </xf>
    <xf numFmtId="165" fontId="15" fillId="0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wrapText="1"/>
    </xf>
    <xf numFmtId="165" fontId="15" fillId="0" borderId="13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top" wrapText="1"/>
    </xf>
    <xf numFmtId="165" fontId="15" fillId="0" borderId="3" xfId="0" applyNumberFormat="1" applyFont="1" applyFill="1" applyBorder="1" applyAlignment="1">
      <alignment horizontal="center" vertical="top" wrapText="1"/>
    </xf>
    <xf numFmtId="172" fontId="5" fillId="0" borderId="3" xfId="0" applyNumberFormat="1" applyFont="1" applyFill="1" applyBorder="1" applyAlignment="1">
      <alignment horizontal="center" vertical="top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168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8" fontId="16" fillId="0" borderId="3" xfId="0" applyNumberFormat="1" applyFont="1" applyFill="1" applyBorder="1" applyAlignment="1">
      <alignment horizontal="center" vertical="top" wrapText="1"/>
    </xf>
    <xf numFmtId="165" fontId="16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vertical="top"/>
    </xf>
    <xf numFmtId="165" fontId="0" fillId="0" borderId="3" xfId="0" applyNumberFormat="1" applyFill="1" applyBorder="1" applyAlignment="1">
      <alignment wrapText="1"/>
    </xf>
    <xf numFmtId="165" fontId="0" fillId="0" borderId="3" xfId="0" applyNumberFormat="1" applyFill="1" applyBorder="1" applyAlignment="1">
      <alignment horizontal="center" wrapText="1"/>
    </xf>
    <xf numFmtId="165" fontId="15" fillId="0" borderId="12" xfId="0" applyNumberFormat="1" applyFont="1" applyFill="1" applyBorder="1" applyAlignment="1">
      <alignment horizontal="center" vertical="top" wrapText="1"/>
    </xf>
    <xf numFmtId="165" fontId="15" fillId="0" borderId="11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horizontal="center" wrapText="1"/>
    </xf>
    <xf numFmtId="165" fontId="15" fillId="0" borderId="3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 horizontal="center" wrapText="1"/>
    </xf>
    <xf numFmtId="165" fontId="12" fillId="0" borderId="19" xfId="0" applyNumberFormat="1" applyFont="1" applyFill="1" applyBorder="1" applyAlignment="1">
      <alignment horizontal="center" vertical="top" wrapText="1"/>
    </xf>
    <xf numFmtId="165" fontId="12" fillId="0" borderId="20" xfId="0" applyNumberFormat="1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vertical="top" wrapText="1"/>
    </xf>
    <xf numFmtId="164" fontId="12" fillId="0" borderId="0" xfId="0" applyFont="1" applyFill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vertical="center" wrapText="1"/>
    </xf>
    <xf numFmtId="164" fontId="5" fillId="0" borderId="16" xfId="0" applyFont="1" applyFill="1" applyBorder="1" applyAlignment="1">
      <alignment vertical="center" wrapText="1"/>
    </xf>
    <xf numFmtId="164" fontId="5" fillId="0" borderId="11" xfId="0" applyFont="1" applyFill="1" applyBorder="1" applyAlignment="1">
      <alignment vertical="center" wrapText="1"/>
    </xf>
    <xf numFmtId="164" fontId="21" fillId="0" borderId="3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5" fillId="0" borderId="11" xfId="0" applyFont="1" applyFill="1" applyBorder="1" applyAlignment="1">
      <alignment horizontal="center" vertical="top" wrapText="1"/>
    </xf>
    <xf numFmtId="172" fontId="5" fillId="0" borderId="3" xfId="0" applyNumberFormat="1" applyFont="1" applyFill="1" applyBorder="1" applyAlignment="1">
      <alignment vertical="top" wrapText="1"/>
    </xf>
    <xf numFmtId="172" fontId="15" fillId="0" borderId="3" xfId="0" applyNumberFormat="1" applyFont="1" applyFill="1" applyBorder="1" applyAlignment="1">
      <alignment horizontal="center" vertical="top" wrapText="1"/>
    </xf>
    <xf numFmtId="164" fontId="0" fillId="0" borderId="17" xfId="0" applyFill="1" applyBorder="1" applyAlignment="1">
      <alignment vertical="top" wrapText="1"/>
    </xf>
    <xf numFmtId="164" fontId="0" fillId="0" borderId="18" xfId="0" applyFill="1" applyBorder="1" applyAlignment="1">
      <alignment vertical="top" wrapText="1"/>
    </xf>
    <xf numFmtId="164" fontId="5" fillId="0" borderId="21" xfId="0" applyFont="1" applyFill="1" applyBorder="1" applyAlignment="1">
      <alignment horizontal="center" vertical="top" wrapText="1"/>
    </xf>
    <xf numFmtId="164" fontId="5" fillId="0" borderId="13" xfId="0" applyFont="1" applyFill="1" applyBorder="1" applyAlignment="1">
      <alignment horizontal="center" vertical="top" wrapText="1"/>
    </xf>
    <xf numFmtId="172" fontId="15" fillId="0" borderId="3" xfId="0" applyNumberFormat="1" applyFont="1" applyFill="1" applyBorder="1" applyAlignment="1">
      <alignment vertical="top" wrapText="1"/>
    </xf>
    <xf numFmtId="164" fontId="5" fillId="0" borderId="19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72" fontId="5" fillId="0" borderId="3" xfId="0" applyNumberFormat="1" applyFont="1" applyFill="1" applyBorder="1" applyAlignment="1">
      <alignment horizontal="center" wrapText="1"/>
    </xf>
    <xf numFmtId="172" fontId="5" fillId="0" borderId="3" xfId="0" applyNumberFormat="1" applyFont="1" applyFill="1" applyBorder="1" applyAlignment="1">
      <alignment wrapText="1"/>
    </xf>
    <xf numFmtId="164" fontId="5" fillId="0" borderId="3" xfId="0" applyFont="1" applyFill="1" applyBorder="1" applyAlignment="1">
      <alignment horizontal="center" wrapText="1"/>
    </xf>
    <xf numFmtId="172" fontId="15" fillId="0" borderId="3" xfId="0" applyNumberFormat="1" applyFont="1" applyFill="1" applyBorder="1" applyAlignment="1">
      <alignment wrapText="1"/>
    </xf>
    <xf numFmtId="170" fontId="5" fillId="0" borderId="3" xfId="0" applyNumberFormat="1" applyFont="1" applyFill="1" applyBorder="1" applyAlignment="1">
      <alignment horizontal="center" vertical="top" wrapText="1"/>
    </xf>
    <xf numFmtId="164" fontId="5" fillId="0" borderId="14" xfId="0" applyFont="1" applyFill="1" applyBorder="1" applyAlignment="1">
      <alignment horizontal="center" vertical="top" wrapText="1"/>
    </xf>
    <xf numFmtId="164" fontId="22" fillId="0" borderId="3" xfId="0" applyFont="1" applyFill="1" applyBorder="1" applyAlignment="1">
      <alignment horizontal="center" vertical="top" wrapText="1"/>
    </xf>
    <xf numFmtId="164" fontId="12" fillId="0" borderId="3" xfId="0" applyFont="1" applyFill="1" applyBorder="1" applyAlignment="1">
      <alignment horizontal="center" vertical="top" wrapText="1"/>
    </xf>
    <xf numFmtId="172" fontId="12" fillId="0" borderId="3" xfId="0" applyNumberFormat="1" applyFont="1" applyFill="1" applyBorder="1" applyAlignment="1">
      <alignment horizontal="center" vertical="top" wrapText="1"/>
    </xf>
    <xf numFmtId="172" fontId="12" fillId="0" borderId="3" xfId="0" applyNumberFormat="1" applyFont="1" applyFill="1" applyBorder="1" applyAlignment="1">
      <alignment vertical="top" wrapText="1"/>
    </xf>
    <xf numFmtId="164" fontId="12" fillId="0" borderId="3" xfId="0" applyFont="1" applyFill="1" applyBorder="1" applyAlignment="1">
      <alignment horizontal="justify" vertical="top" wrapText="1"/>
    </xf>
    <xf numFmtId="172" fontId="22" fillId="0" borderId="3" xfId="0" applyNumberFormat="1" applyFont="1" applyFill="1" applyBorder="1" applyAlignment="1">
      <alignment horizontal="center" vertical="top" wrapText="1"/>
    </xf>
    <xf numFmtId="172" fontId="22" fillId="0" borderId="3" xfId="0" applyNumberFormat="1" applyFont="1" applyFill="1" applyBorder="1" applyAlignment="1">
      <alignment vertical="top" wrapText="1"/>
    </xf>
    <xf numFmtId="164" fontId="22" fillId="0" borderId="3" xfId="0" applyFont="1" applyFill="1" applyBorder="1" applyAlignment="1">
      <alignment horizontal="justify" vertical="top" wrapText="1"/>
    </xf>
    <xf numFmtId="164" fontId="12" fillId="0" borderId="22" xfId="0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left" vertical="top" wrapText="1"/>
    </xf>
    <xf numFmtId="170" fontId="5" fillId="0" borderId="3" xfId="0" applyNumberFormat="1" applyFont="1" applyFill="1" applyBorder="1" applyAlignment="1">
      <alignment horizontal="center" wrapText="1"/>
    </xf>
    <xf numFmtId="170" fontId="5" fillId="0" borderId="3" xfId="0" applyNumberFormat="1" applyFont="1" applyFill="1" applyBorder="1" applyAlignment="1">
      <alignment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0" fillId="0" borderId="3" xfId="0" applyNumberForma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 wrapText="1"/>
    </xf>
    <xf numFmtId="164" fontId="12" fillId="0" borderId="16" xfId="0" applyFont="1" applyFill="1" applyBorder="1" applyAlignment="1">
      <alignment horizontal="center" vertical="top" wrapText="1"/>
    </xf>
    <xf numFmtId="170" fontId="12" fillId="0" borderId="3" xfId="0" applyNumberFormat="1" applyFont="1" applyFill="1" applyBorder="1" applyAlignment="1">
      <alignment horizontal="center" wrapText="1"/>
    </xf>
    <xf numFmtId="170" fontId="12" fillId="0" borderId="3" xfId="0" applyNumberFormat="1" applyFont="1" applyFill="1" applyBorder="1" applyAlignment="1">
      <alignment wrapText="1"/>
    </xf>
    <xf numFmtId="164" fontId="5" fillId="0" borderId="23" xfId="0" applyFont="1" applyFill="1" applyBorder="1" applyAlignment="1">
      <alignment horizontal="center" vertical="top" wrapText="1"/>
    </xf>
    <xf numFmtId="170" fontId="12" fillId="0" borderId="18" xfId="0" applyNumberFormat="1" applyFont="1" applyFill="1" applyBorder="1" applyAlignment="1">
      <alignment wrapText="1"/>
    </xf>
    <xf numFmtId="170" fontId="12" fillId="0" borderId="18" xfId="0" applyNumberFormat="1" applyFont="1" applyFill="1" applyBorder="1" applyAlignment="1">
      <alignment horizontal="center" wrapText="1"/>
    </xf>
    <xf numFmtId="164" fontId="5" fillId="0" borderId="18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left" vertical="center" wrapText="1"/>
    </xf>
    <xf numFmtId="170" fontId="15" fillId="0" borderId="3" xfId="0" applyNumberFormat="1" applyFont="1" applyFill="1" applyBorder="1" applyAlignment="1">
      <alignment wrapText="1"/>
    </xf>
    <xf numFmtId="170" fontId="15" fillId="0" borderId="3" xfId="0" applyNumberFormat="1" applyFont="1" applyFill="1" applyBorder="1" applyAlignment="1">
      <alignment horizontal="center" vertical="center"/>
    </xf>
    <xf numFmtId="170" fontId="15" fillId="0" borderId="3" xfId="0" applyNumberFormat="1" applyFont="1" applyFill="1" applyBorder="1" applyAlignment="1">
      <alignment vertical="top" wrapText="1"/>
    </xf>
    <xf numFmtId="164" fontId="5" fillId="0" borderId="14" xfId="0" applyFont="1" applyFill="1" applyBorder="1" applyAlignment="1">
      <alignment vertical="top" wrapText="1"/>
    </xf>
    <xf numFmtId="170" fontId="10" fillId="0" borderId="3" xfId="0" applyNumberFormat="1" applyFont="1" applyFill="1" applyBorder="1" applyAlignment="1">
      <alignment wrapText="1"/>
    </xf>
    <xf numFmtId="164" fontId="10" fillId="0" borderId="3" xfId="0" applyFont="1" applyFill="1" applyBorder="1" applyAlignment="1">
      <alignment horizontal="center" vertical="center"/>
    </xf>
    <xf numFmtId="170" fontId="10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/>
    </xf>
    <xf numFmtId="164" fontId="0" fillId="0" borderId="3" xfId="0" applyFill="1" applyBorder="1" applyAlignment="1">
      <alignment/>
    </xf>
    <xf numFmtId="168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4" fontId="10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4" fontId="6" fillId="0" borderId="0" xfId="0" applyFont="1" applyFill="1" applyAlignment="1">
      <alignment vertical="top"/>
    </xf>
    <xf numFmtId="164" fontId="7" fillId="0" borderId="24" xfId="0" applyFont="1" applyFill="1" applyBorder="1" applyAlignment="1">
      <alignment horizontal="center" vertical="center"/>
    </xf>
    <xf numFmtId="164" fontId="6" fillId="0" borderId="11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top" wrapText="1"/>
    </xf>
    <xf numFmtId="164" fontId="23" fillId="0" borderId="3" xfId="0" applyFont="1" applyFill="1" applyBorder="1" applyAlignment="1">
      <alignment vertical="top" wrapText="1"/>
    </xf>
    <xf numFmtId="173" fontId="6" fillId="0" borderId="3" xfId="0" applyNumberFormat="1" applyFont="1" applyFill="1" applyBorder="1" applyAlignment="1">
      <alignment horizontal="center" vertical="top" wrapText="1"/>
    </xf>
    <xf numFmtId="173" fontId="6" fillId="0" borderId="3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vertical="top" wrapText="1"/>
    </xf>
    <xf numFmtId="164" fontId="6" fillId="0" borderId="3" xfId="0" applyFont="1" applyFill="1" applyBorder="1" applyAlignment="1">
      <alignment vertical="top" wrapText="1"/>
    </xf>
    <xf numFmtId="170" fontId="6" fillId="0" borderId="3" xfId="0" applyNumberFormat="1" applyFont="1" applyFill="1" applyBorder="1" applyAlignment="1">
      <alignment horizontal="center" vertical="top" wrapText="1"/>
    </xf>
    <xf numFmtId="164" fontId="6" fillId="0" borderId="24" xfId="0" applyFont="1" applyFill="1" applyBorder="1" applyAlignment="1">
      <alignment horizontal="center" vertical="top" wrapText="1"/>
    </xf>
    <xf numFmtId="164" fontId="6" fillId="0" borderId="20" xfId="0" applyFont="1" applyFill="1" applyBorder="1" applyAlignment="1">
      <alignment horizontal="center" vertical="top" wrapText="1"/>
    </xf>
    <xf numFmtId="164" fontId="6" fillId="0" borderId="15" xfId="0" applyFont="1" applyFill="1" applyBorder="1" applyAlignment="1">
      <alignment horizontal="center" vertical="top" wrapText="1"/>
    </xf>
    <xf numFmtId="164" fontId="6" fillId="0" borderId="14" xfId="0" applyFont="1" applyFill="1" applyBorder="1" applyAlignment="1">
      <alignment vertical="top" wrapText="1"/>
    </xf>
    <xf numFmtId="164" fontId="6" fillId="0" borderId="14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justify" vertical="top" wrapText="1"/>
    </xf>
    <xf numFmtId="173" fontId="6" fillId="0" borderId="13" xfId="0" applyNumberFormat="1" applyFont="1" applyFill="1" applyBorder="1" applyAlignment="1">
      <alignment horizontal="center" vertical="top" wrapText="1"/>
    </xf>
    <xf numFmtId="173" fontId="0" fillId="0" borderId="0" xfId="0" applyNumberFormat="1" applyFill="1" applyAlignment="1">
      <alignment horizontal="center"/>
    </xf>
    <xf numFmtId="173" fontId="7" fillId="0" borderId="3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/>
    </xf>
    <xf numFmtId="164" fontId="6" fillId="0" borderId="0" xfId="0" applyFont="1" applyFill="1" applyBorder="1" applyAlignment="1">
      <alignment horizontal="right" wrapText="1"/>
    </xf>
    <xf numFmtId="164" fontId="7" fillId="0" borderId="0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25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left" vertical="center" wrapText="1"/>
    </xf>
    <xf numFmtId="164" fontId="8" fillId="0" borderId="26" xfId="0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4" fontId="8" fillId="0" borderId="3" xfId="0" applyFont="1" applyFill="1" applyBorder="1" applyAlignment="1">
      <alignment horizontal="left" vertical="top" wrapText="1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71" fontId="8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12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0" zoomScaleNormal="80" zoomScaleSheetLayoutView="100" workbookViewId="0" topLeftCell="A40">
      <selection activeCell="M14" sqref="M14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17.140625" style="0" customWidth="1"/>
    <col min="5" max="5" width="13.7109375" style="0" customWidth="1"/>
    <col min="6" max="6" width="15.8515625" style="0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1"/>
      <c r="L1" s="1"/>
    </row>
    <row r="2" spans="1:12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15.75">
      <c r="A4" s="5"/>
      <c r="B4" s="5"/>
      <c r="C4" s="5"/>
      <c r="D4" s="5"/>
      <c r="E4" s="6"/>
      <c r="F4" s="6"/>
      <c r="G4" s="5"/>
      <c r="H4" s="6"/>
      <c r="I4" s="5"/>
      <c r="J4" s="7"/>
      <c r="K4" s="7"/>
      <c r="L4" s="7"/>
    </row>
    <row r="5" spans="1:12" ht="14.25">
      <c r="A5" s="8"/>
      <c r="B5" s="8"/>
      <c r="C5" s="8"/>
      <c r="D5" s="9"/>
      <c r="E5" s="10"/>
      <c r="F5" s="8"/>
      <c r="G5" s="8"/>
      <c r="H5" s="6"/>
      <c r="I5" s="8"/>
      <c r="J5" s="8"/>
      <c r="K5" s="11"/>
      <c r="L5" s="11"/>
    </row>
    <row r="6" spans="1:12" ht="14.25">
      <c r="A6" s="8"/>
      <c r="B6" s="8"/>
      <c r="C6" s="8"/>
      <c r="D6" s="9"/>
      <c r="E6" s="8"/>
      <c r="F6" s="8"/>
      <c r="G6" s="8"/>
      <c r="H6" s="6"/>
      <c r="I6" s="8"/>
      <c r="J6" s="8"/>
      <c r="K6" s="5"/>
      <c r="L6" s="5"/>
    </row>
    <row r="7" spans="1:12" ht="21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26.25" customHeight="1">
      <c r="A8" s="14" t="s">
        <v>2</v>
      </c>
      <c r="B8" s="15" t="s">
        <v>3</v>
      </c>
      <c r="C8" s="16" t="s">
        <v>4</v>
      </c>
      <c r="D8" s="17" t="s">
        <v>5</v>
      </c>
      <c r="E8" s="18"/>
      <c r="F8" s="18"/>
      <c r="G8" s="18"/>
      <c r="H8" s="18"/>
      <c r="I8" s="18"/>
      <c r="J8" s="17" t="s">
        <v>6</v>
      </c>
      <c r="K8" s="19" t="s">
        <v>7</v>
      </c>
      <c r="L8" s="13"/>
    </row>
    <row r="9" spans="1:12" ht="15.75" customHeight="1">
      <c r="A9" s="14"/>
      <c r="B9" s="15"/>
      <c r="C9" s="16"/>
      <c r="D9" s="17" t="s">
        <v>8</v>
      </c>
      <c r="E9" s="17" t="s">
        <v>9</v>
      </c>
      <c r="F9" s="17" t="s">
        <v>10</v>
      </c>
      <c r="G9" s="17"/>
      <c r="H9" s="17"/>
      <c r="I9" s="17"/>
      <c r="J9" s="17"/>
      <c r="K9" s="19"/>
      <c r="L9" s="13"/>
    </row>
    <row r="10" spans="1:12" ht="20.25" customHeight="1">
      <c r="A10" s="14"/>
      <c r="B10" s="15"/>
      <c r="C10" s="16"/>
      <c r="D10" s="20"/>
      <c r="E10" s="17"/>
      <c r="F10" s="17" t="s">
        <v>11</v>
      </c>
      <c r="G10" s="17"/>
      <c r="H10" s="17"/>
      <c r="I10" s="17" t="s">
        <v>12</v>
      </c>
      <c r="J10" s="17"/>
      <c r="K10" s="19"/>
      <c r="L10" s="13"/>
    </row>
    <row r="11" spans="1:12" ht="21" customHeight="1">
      <c r="A11" s="21"/>
      <c r="B11" s="22"/>
      <c r="C11" s="23"/>
      <c r="D11" s="20"/>
      <c r="E11" s="17"/>
      <c r="F11" s="17" t="s">
        <v>13</v>
      </c>
      <c r="G11" s="17" t="s">
        <v>14</v>
      </c>
      <c r="H11" s="17"/>
      <c r="I11" s="17"/>
      <c r="J11" s="17"/>
      <c r="K11" s="22"/>
      <c r="L11" s="13"/>
    </row>
    <row r="12" spans="1:12" ht="39" customHeight="1">
      <c r="A12" s="21"/>
      <c r="B12" s="22"/>
      <c r="C12" s="23"/>
      <c r="D12" s="20"/>
      <c r="E12" s="17"/>
      <c r="F12" s="17"/>
      <c r="G12" s="17" t="s">
        <v>15</v>
      </c>
      <c r="H12" s="17" t="s">
        <v>16</v>
      </c>
      <c r="I12" s="17"/>
      <c r="J12" s="17"/>
      <c r="K12" s="22"/>
      <c r="L12" s="13"/>
    </row>
    <row r="13" spans="1:12" ht="15">
      <c r="A13" s="24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13"/>
    </row>
    <row r="14" spans="1:12" ht="21.75" customHeight="1">
      <c r="A14" s="25" t="s">
        <v>17</v>
      </c>
      <c r="B14" s="26" t="s">
        <v>18</v>
      </c>
      <c r="C14" s="27">
        <v>2017</v>
      </c>
      <c r="D14" s="28">
        <f aca="true" t="shared" si="0" ref="D14:D15">H14+I14+J14</f>
        <v>83856.64676000002</v>
      </c>
      <c r="E14" s="28"/>
      <c r="F14" s="28">
        <f>G14+H14</f>
        <v>9038.8</v>
      </c>
      <c r="G14" s="28"/>
      <c r="H14" s="28">
        <f>H23</f>
        <v>9038.8</v>
      </c>
      <c r="I14" s="28">
        <f>I23+I32+I41</f>
        <v>74817.84676000001</v>
      </c>
      <c r="J14" s="28">
        <v>0</v>
      </c>
      <c r="K14" s="25" t="s">
        <v>19</v>
      </c>
      <c r="L14" s="13"/>
    </row>
    <row r="15" spans="1:12" ht="20.25" customHeight="1">
      <c r="A15" s="25"/>
      <c r="B15" s="26"/>
      <c r="C15" s="27">
        <v>2018</v>
      </c>
      <c r="D15" s="28">
        <f t="shared" si="0"/>
        <v>81456.39127</v>
      </c>
      <c r="E15" s="28"/>
      <c r="F15" s="28">
        <f>H15+G15</f>
        <v>10207.418000000001</v>
      </c>
      <c r="G15" s="28"/>
      <c r="H15" s="28">
        <f>SUM(H24+H33+H42)</f>
        <v>10207.418000000001</v>
      </c>
      <c r="I15" s="28">
        <f>SUM(I24+I33+I42)</f>
        <v>65309.934519999995</v>
      </c>
      <c r="J15" s="28">
        <f aca="true" t="shared" si="1" ref="J15:J17">J24</f>
        <v>5939.03875</v>
      </c>
      <c r="K15" s="25"/>
      <c r="L15" s="13"/>
    </row>
    <row r="16" spans="1:12" ht="15.75">
      <c r="A16" s="25"/>
      <c r="B16" s="26"/>
      <c r="C16" s="27">
        <v>2019</v>
      </c>
      <c r="D16" s="28">
        <f>F16+I16+J16</f>
        <v>94820.90904000001</v>
      </c>
      <c r="E16" s="28"/>
      <c r="F16" s="28">
        <f>G16+H16</f>
        <v>15341.064000000002</v>
      </c>
      <c r="G16" s="28">
        <f>G34</f>
        <v>4407.4</v>
      </c>
      <c r="H16" s="28">
        <f aca="true" t="shared" si="2" ref="H16:H21">H25+H34</f>
        <v>10933.664000000002</v>
      </c>
      <c r="I16" s="28">
        <f>I25+I34+I43</f>
        <v>69536.57411000002</v>
      </c>
      <c r="J16" s="28">
        <f t="shared" si="1"/>
        <v>9943.270929999999</v>
      </c>
      <c r="K16" s="25"/>
      <c r="L16" s="13"/>
    </row>
    <row r="17" spans="1:12" ht="21" customHeight="1">
      <c r="A17" s="25"/>
      <c r="B17" s="26"/>
      <c r="C17" s="27">
        <v>2020</v>
      </c>
      <c r="D17" s="28">
        <f>H17+I17+J17+E17</f>
        <v>87737.20133</v>
      </c>
      <c r="E17" s="28">
        <v>16.6</v>
      </c>
      <c r="F17" s="28">
        <f>H17</f>
        <v>11747.5</v>
      </c>
      <c r="G17" s="28"/>
      <c r="H17" s="28">
        <f t="shared" si="2"/>
        <v>11747.5</v>
      </c>
      <c r="I17" s="28">
        <f aca="true" t="shared" si="3" ref="I17:I21">I26+I35+I44+I50</f>
        <v>70091.44608</v>
      </c>
      <c r="J17" s="28">
        <f t="shared" si="1"/>
        <v>5881.65525</v>
      </c>
      <c r="K17" s="25"/>
      <c r="L17" s="13"/>
    </row>
    <row r="18" spans="1:12" ht="21" customHeight="1">
      <c r="A18" s="25"/>
      <c r="B18" s="26"/>
      <c r="C18" s="27">
        <v>2021</v>
      </c>
      <c r="D18" s="28">
        <f aca="true" t="shared" si="4" ref="D18:D21">E18+F18+I18+J18</f>
        <v>91222.98919</v>
      </c>
      <c r="E18" s="28">
        <v>33.2</v>
      </c>
      <c r="F18" s="28">
        <f aca="true" t="shared" si="5" ref="F18:F20">H18+G18</f>
        <v>16983.55</v>
      </c>
      <c r="G18" s="28">
        <f>G36+G27</f>
        <v>3410.3</v>
      </c>
      <c r="H18" s="28">
        <f t="shared" si="2"/>
        <v>13573.25</v>
      </c>
      <c r="I18" s="28">
        <f t="shared" si="3"/>
        <v>64676.23919</v>
      </c>
      <c r="J18" s="28">
        <f aca="true" t="shared" si="6" ref="J18:J20">J27+J36</f>
        <v>9530</v>
      </c>
      <c r="K18" s="25"/>
      <c r="L18" s="13"/>
    </row>
    <row r="19" spans="1:12" ht="21" customHeight="1">
      <c r="A19" s="25"/>
      <c r="B19" s="26"/>
      <c r="C19" s="27">
        <v>2022</v>
      </c>
      <c r="D19" s="28">
        <f t="shared" si="4"/>
        <v>99758.616</v>
      </c>
      <c r="E19" s="28">
        <v>17</v>
      </c>
      <c r="F19" s="28">
        <f t="shared" si="5"/>
        <v>16125.8</v>
      </c>
      <c r="G19" s="28">
        <f aca="true" t="shared" si="7" ref="G19:G21">G28+G37</f>
        <v>3250.5</v>
      </c>
      <c r="H19" s="28">
        <f t="shared" si="2"/>
        <v>12875.3</v>
      </c>
      <c r="I19" s="28">
        <f t="shared" si="3"/>
        <v>74135.81599999999</v>
      </c>
      <c r="J19" s="28">
        <f t="shared" si="6"/>
        <v>9480</v>
      </c>
      <c r="K19" s="25"/>
      <c r="L19" s="13"/>
    </row>
    <row r="20" spans="1:12" ht="21" customHeight="1">
      <c r="A20" s="25"/>
      <c r="B20" s="26"/>
      <c r="C20" s="27">
        <v>2023</v>
      </c>
      <c r="D20" s="28">
        <f t="shared" si="4"/>
        <v>89684.58</v>
      </c>
      <c r="E20" s="28">
        <v>17</v>
      </c>
      <c r="F20" s="28">
        <f t="shared" si="5"/>
        <v>20808.2</v>
      </c>
      <c r="G20" s="28">
        <f t="shared" si="7"/>
        <v>7558.3</v>
      </c>
      <c r="H20" s="28">
        <f t="shared" si="2"/>
        <v>13249.9</v>
      </c>
      <c r="I20" s="28">
        <f t="shared" si="3"/>
        <v>59379.38</v>
      </c>
      <c r="J20" s="28">
        <f t="shared" si="6"/>
        <v>9480</v>
      </c>
      <c r="K20" s="25"/>
      <c r="L20" s="13"/>
    </row>
    <row r="21" spans="1:12" ht="21" customHeight="1">
      <c r="A21" s="25"/>
      <c r="B21" s="26"/>
      <c r="C21" s="27">
        <v>2024</v>
      </c>
      <c r="D21" s="28">
        <f t="shared" si="4"/>
        <v>84710.95</v>
      </c>
      <c r="E21" s="28">
        <f>E30</f>
        <v>17</v>
      </c>
      <c r="F21" s="28">
        <f>F30+F39</f>
        <v>16125.8</v>
      </c>
      <c r="G21" s="28">
        <f t="shared" si="7"/>
        <v>3250.5</v>
      </c>
      <c r="H21" s="28">
        <f t="shared" si="2"/>
        <v>12875.3</v>
      </c>
      <c r="I21" s="28">
        <f t="shared" si="3"/>
        <v>59088.149999999994</v>
      </c>
      <c r="J21" s="28">
        <f>'под. культура'!J788+J39</f>
        <v>9480</v>
      </c>
      <c r="K21" s="25"/>
      <c r="L21" s="13"/>
    </row>
    <row r="22" spans="1:12" ht="27" customHeight="1">
      <c r="A22" s="25"/>
      <c r="B22" s="29" t="s">
        <v>20</v>
      </c>
      <c r="C22" s="30" t="s">
        <v>21</v>
      </c>
      <c r="D22" s="31">
        <f>SUM(D14:D21)</f>
        <v>713248.28359</v>
      </c>
      <c r="E22" s="31">
        <f>SUM(E14:E21)</f>
        <v>100.80000000000001</v>
      </c>
      <c r="F22" s="31">
        <f>SUM(F14:F21)</f>
        <v>116378.13200000001</v>
      </c>
      <c r="G22" s="31">
        <f>SUM(G14:G21)</f>
        <v>21877</v>
      </c>
      <c r="H22" s="31">
        <f>SUM(H14:H21)</f>
        <v>94501.132</v>
      </c>
      <c r="I22" s="31">
        <f>SUM(I14:I21)</f>
        <v>537035.38666</v>
      </c>
      <c r="J22" s="31">
        <f>SUM(J14:J21)</f>
        <v>59733.964929999995</v>
      </c>
      <c r="K22" s="25"/>
      <c r="L22" s="13"/>
    </row>
    <row r="23" spans="1:12" ht="30.75" customHeight="1">
      <c r="A23" s="25" t="s">
        <v>22</v>
      </c>
      <c r="B23" s="26" t="s">
        <v>23</v>
      </c>
      <c r="C23" s="27">
        <v>2017</v>
      </c>
      <c r="D23" s="28">
        <f aca="true" t="shared" si="8" ref="D23:D25">H23+I23+J23</f>
        <v>83485.04676000001</v>
      </c>
      <c r="E23" s="28"/>
      <c r="F23" s="28">
        <f aca="true" t="shared" si="9" ref="F23:F26">G23+H23</f>
        <v>9038.8</v>
      </c>
      <c r="G23" s="28"/>
      <c r="H23" s="28">
        <f>'под. культура'!H781</f>
        <v>9038.8</v>
      </c>
      <c r="I23" s="28">
        <f>'под. культура'!I781</f>
        <v>74446.24676000001</v>
      </c>
      <c r="J23" s="28">
        <f>'под. культура'!J781</f>
        <v>0</v>
      </c>
      <c r="K23" s="25" t="s">
        <v>19</v>
      </c>
      <c r="L23" s="13"/>
    </row>
    <row r="24" spans="1:12" ht="27" customHeight="1">
      <c r="A24" s="25"/>
      <c r="B24" s="26"/>
      <c r="C24" s="27">
        <v>2018</v>
      </c>
      <c r="D24" s="28">
        <f t="shared" si="8"/>
        <v>81020.64127</v>
      </c>
      <c r="E24" s="28"/>
      <c r="F24" s="28">
        <f t="shared" si="9"/>
        <v>10207.418000000001</v>
      </c>
      <c r="G24" s="28"/>
      <c r="H24" s="28">
        <f>'под. культура'!H782</f>
        <v>10207.418000000001</v>
      </c>
      <c r="I24" s="28">
        <f>'под. культура'!I782</f>
        <v>64874.184519999995</v>
      </c>
      <c r="J24" s="28">
        <f>'под. культура'!J755</f>
        <v>5939.03875</v>
      </c>
      <c r="K24" s="25"/>
      <c r="L24" s="13"/>
    </row>
    <row r="25" spans="1:12" ht="27" customHeight="1">
      <c r="A25" s="25"/>
      <c r="B25" s="26"/>
      <c r="C25" s="27">
        <v>2019</v>
      </c>
      <c r="D25" s="28">
        <f t="shared" si="8"/>
        <v>89416.72404000002</v>
      </c>
      <c r="E25" s="28"/>
      <c r="F25" s="28">
        <f t="shared" si="9"/>
        <v>10602.964000000002</v>
      </c>
      <c r="G25" s="28"/>
      <c r="H25" s="28">
        <f>'под. культура'!H783</f>
        <v>10602.964000000002</v>
      </c>
      <c r="I25" s="28">
        <f>'под. культура'!I783</f>
        <v>68870.48911000001</v>
      </c>
      <c r="J25" s="28">
        <f>'под. культура'!J756</f>
        <v>9943.270929999999</v>
      </c>
      <c r="K25" s="25"/>
      <c r="L25" s="13"/>
    </row>
    <row r="26" spans="1:12" ht="24.75" customHeight="1">
      <c r="A26" s="25"/>
      <c r="B26" s="26"/>
      <c r="C26" s="27">
        <v>2020</v>
      </c>
      <c r="D26" s="28">
        <f aca="true" t="shared" si="10" ref="D26:D30">E26+F26+I26+J26</f>
        <v>86650.26683</v>
      </c>
      <c r="E26" s="28">
        <v>16.6</v>
      </c>
      <c r="F26" s="28">
        <f t="shared" si="9"/>
        <v>11163.9</v>
      </c>
      <c r="G26" s="28"/>
      <c r="H26" s="28">
        <f>'под. культура'!H784</f>
        <v>11163.9</v>
      </c>
      <c r="I26" s="28">
        <f>'под. культура'!I784</f>
        <v>69588.11158</v>
      </c>
      <c r="J26" s="28">
        <f>'под. культура'!J757</f>
        <v>5881.65525</v>
      </c>
      <c r="K26" s="25"/>
      <c r="L26" s="13"/>
    </row>
    <row r="27" spans="1:12" ht="24.75" customHeight="1">
      <c r="A27" s="25"/>
      <c r="B27" s="26"/>
      <c r="C27" s="27">
        <v>2021</v>
      </c>
      <c r="D27" s="28">
        <f t="shared" si="10"/>
        <v>67623.12641</v>
      </c>
      <c r="E27" s="28">
        <v>33.2</v>
      </c>
      <c r="F27" s="28">
        <f aca="true" t="shared" si="11" ref="F27:F29">H27+G27</f>
        <v>12541.4</v>
      </c>
      <c r="G27" s="28">
        <f>'под. культура'!G785</f>
        <v>61.8</v>
      </c>
      <c r="H27" s="28">
        <f>'под. культура'!H785</f>
        <v>12479.6</v>
      </c>
      <c r="I27" s="28">
        <f>'под. культура'!I785</f>
        <v>47718.52641</v>
      </c>
      <c r="J27" s="28">
        <f>'под. культура'!J785</f>
        <v>7330</v>
      </c>
      <c r="K27" s="25"/>
      <c r="L27" s="13"/>
    </row>
    <row r="28" spans="1:12" ht="24.75" customHeight="1">
      <c r="A28" s="25"/>
      <c r="B28" s="26"/>
      <c r="C28" s="27">
        <v>2022</v>
      </c>
      <c r="D28" s="28">
        <f t="shared" si="10"/>
        <v>75558.98</v>
      </c>
      <c r="E28" s="28">
        <v>17</v>
      </c>
      <c r="F28" s="28">
        <f t="shared" si="11"/>
        <v>12137.3</v>
      </c>
      <c r="G28" s="28">
        <f>'под. культура'!G786</f>
        <v>62.5</v>
      </c>
      <c r="H28" s="28">
        <f>'под. культура'!H786</f>
        <v>12074.8</v>
      </c>
      <c r="I28" s="28">
        <f>'под. культура'!I786</f>
        <v>56124.68</v>
      </c>
      <c r="J28" s="28">
        <f>'под. культура'!J786</f>
        <v>7280</v>
      </c>
      <c r="K28" s="25"/>
      <c r="L28" s="13"/>
    </row>
    <row r="29" spans="1:12" ht="19.5" customHeight="1">
      <c r="A29" s="25"/>
      <c r="B29" s="26"/>
      <c r="C29" s="27">
        <v>2023</v>
      </c>
      <c r="D29" s="28">
        <f t="shared" si="10"/>
        <v>68251.078</v>
      </c>
      <c r="E29" s="28">
        <v>17</v>
      </c>
      <c r="F29" s="28">
        <f t="shared" si="11"/>
        <v>16819.7</v>
      </c>
      <c r="G29" s="28">
        <f>'под. культура'!G787</f>
        <v>4370.3</v>
      </c>
      <c r="H29" s="28">
        <f>'под. культура'!H787</f>
        <v>12449.4</v>
      </c>
      <c r="I29" s="28">
        <f>'под. культура'!I787</f>
        <v>44134.378</v>
      </c>
      <c r="J29" s="28">
        <f>'под. культура'!J787</f>
        <v>7280</v>
      </c>
      <c r="K29" s="25"/>
      <c r="L29" s="13"/>
    </row>
    <row r="30" spans="1:12" ht="19.5" customHeight="1">
      <c r="A30" s="25"/>
      <c r="B30" s="26"/>
      <c r="C30" s="27">
        <v>2024</v>
      </c>
      <c r="D30" s="28">
        <f t="shared" si="10"/>
        <v>63655.94799999999</v>
      </c>
      <c r="E30" s="28">
        <f>'под. культура'!E788</f>
        <v>17</v>
      </c>
      <c r="F30" s="28">
        <f>G30+H30</f>
        <v>12137.3</v>
      </c>
      <c r="G30" s="28">
        <f>'под. культура'!G788</f>
        <v>62.5</v>
      </c>
      <c r="H30" s="28">
        <f>'под. культура'!H788</f>
        <v>12074.8</v>
      </c>
      <c r="I30" s="28">
        <f>'под. культура'!I788</f>
        <v>44221.647999999994</v>
      </c>
      <c r="J30" s="28">
        <f>'под. культура'!J788</f>
        <v>7280</v>
      </c>
      <c r="K30" s="25"/>
      <c r="L30" s="13"/>
    </row>
    <row r="31" spans="1:12" ht="17.25" customHeight="1">
      <c r="A31" s="25"/>
      <c r="B31" s="29" t="s">
        <v>24</v>
      </c>
      <c r="C31" s="30" t="s">
        <v>25</v>
      </c>
      <c r="D31" s="31">
        <f>SUM(D23:D30)</f>
        <v>615661.81131</v>
      </c>
      <c r="E31" s="31">
        <f>SUM(E23:E30)</f>
        <v>100.80000000000001</v>
      </c>
      <c r="F31" s="31">
        <f>SUM(F23:F30)</f>
        <v>94648.782</v>
      </c>
      <c r="G31" s="31">
        <f>SUM(G23:G30)</f>
        <v>4557.1</v>
      </c>
      <c r="H31" s="31">
        <f>SUM(H23:H30)</f>
        <v>90091.682</v>
      </c>
      <c r="I31" s="31">
        <f>SUM(I23:I30)</f>
        <v>469978.26438</v>
      </c>
      <c r="J31" s="31">
        <f>SUM(J23:J30)</f>
        <v>50933.964929999995</v>
      </c>
      <c r="K31" s="25"/>
      <c r="L31" s="13"/>
    </row>
    <row r="32" spans="1:12" ht="21" customHeight="1">
      <c r="A32" s="25" t="s">
        <v>26</v>
      </c>
      <c r="B32" s="26" t="s">
        <v>27</v>
      </c>
      <c r="C32" s="27">
        <v>2017</v>
      </c>
      <c r="D32" s="28">
        <f>I32</f>
        <v>358.5</v>
      </c>
      <c r="E32" s="31"/>
      <c r="F32" s="31"/>
      <c r="G32" s="31"/>
      <c r="H32" s="31"/>
      <c r="I32" s="28">
        <f>'подпр Физ и спорт'!O67</f>
        <v>358.5</v>
      </c>
      <c r="J32" s="31"/>
      <c r="K32" s="25" t="s">
        <v>19</v>
      </c>
      <c r="L32" s="13"/>
    </row>
    <row r="33" spans="1:12" ht="19.5" customHeight="1">
      <c r="A33" s="25"/>
      <c r="B33" s="26"/>
      <c r="C33" s="27">
        <v>2018</v>
      </c>
      <c r="D33" s="28">
        <f>H33+I33</f>
        <v>428.5</v>
      </c>
      <c r="E33" s="28"/>
      <c r="F33" s="28"/>
      <c r="G33" s="28"/>
      <c r="H33" s="28"/>
      <c r="I33" s="28">
        <f>'подпр Физ и спорт'!O68+70</f>
        <v>428.5</v>
      </c>
      <c r="J33" s="31"/>
      <c r="K33" s="25"/>
      <c r="L33" s="13"/>
    </row>
    <row r="34" spans="1:12" ht="15.75">
      <c r="A34" s="25"/>
      <c r="B34" s="26"/>
      <c r="C34" s="27">
        <v>2019</v>
      </c>
      <c r="D34" s="28">
        <f>H34+I34+G34</f>
        <v>5391.084999999999</v>
      </c>
      <c r="E34" s="31"/>
      <c r="F34" s="28">
        <f>H34+G34</f>
        <v>4738.099999999999</v>
      </c>
      <c r="G34" s="28">
        <f>'подпр Физ и спорт'!H81</f>
        <v>4407.4</v>
      </c>
      <c r="H34" s="28">
        <f>'подпр Физ и спорт'!I154</f>
        <v>330.7</v>
      </c>
      <c r="I34" s="28">
        <f>'подпр Физ и спорт'!O154</f>
        <v>652.985</v>
      </c>
      <c r="J34" s="31"/>
      <c r="K34" s="25"/>
      <c r="L34" s="13"/>
    </row>
    <row r="35" spans="1:12" ht="19.5" customHeight="1">
      <c r="A35" s="25"/>
      <c r="B35" s="26"/>
      <c r="C35" s="27">
        <v>2020</v>
      </c>
      <c r="D35" s="28">
        <f>H35+I35</f>
        <v>1069.9875</v>
      </c>
      <c r="E35" s="31"/>
      <c r="F35" s="28">
        <f>G35+H35</f>
        <v>583.6</v>
      </c>
      <c r="G35" s="31"/>
      <c r="H35" s="28">
        <f>'подпр Физ и спорт'!I155</f>
        <v>583.6</v>
      </c>
      <c r="I35" s="28">
        <f>'подпр Физ и спорт'!O155</f>
        <v>486.3875</v>
      </c>
      <c r="J35" s="31"/>
      <c r="K35" s="25"/>
      <c r="L35" s="13"/>
    </row>
    <row r="36" spans="1:12" ht="24" customHeight="1">
      <c r="A36" s="25"/>
      <c r="B36" s="26"/>
      <c r="C36" s="32">
        <v>2021</v>
      </c>
      <c r="D36" s="33">
        <f aca="true" t="shared" si="12" ref="D36:D40">F36+I36+J36</f>
        <v>23489.36378</v>
      </c>
      <c r="E36" s="34"/>
      <c r="F36" s="33">
        <f aca="true" t="shared" si="13" ref="F36:F39">H36+G36</f>
        <v>4442.15</v>
      </c>
      <c r="G36" s="33">
        <f>'подпр Физ и спорт'!H156</f>
        <v>3348.5</v>
      </c>
      <c r="H36" s="33">
        <f>'подпр Физ и спорт'!I156</f>
        <v>1093.65</v>
      </c>
      <c r="I36" s="33">
        <f>'подпр Физ и спорт'!O156</f>
        <v>16847.213780000002</v>
      </c>
      <c r="J36" s="34">
        <f>'подпр Физ и спорт'!P147</f>
        <v>2200</v>
      </c>
      <c r="K36" s="25"/>
      <c r="L36" s="13"/>
    </row>
    <row r="37" spans="1:12" ht="24" customHeight="1">
      <c r="A37" s="25"/>
      <c r="B37" s="26"/>
      <c r="C37" s="27">
        <v>2022</v>
      </c>
      <c r="D37" s="28">
        <f t="shared" si="12"/>
        <v>24148.136</v>
      </c>
      <c r="E37" s="31"/>
      <c r="F37" s="28">
        <f t="shared" si="13"/>
        <v>3988.5</v>
      </c>
      <c r="G37" s="28">
        <f>'подпр Физ и спорт'!H157</f>
        <v>3188</v>
      </c>
      <c r="H37" s="28">
        <f>'подпр Физ и спорт'!I157</f>
        <v>800.5</v>
      </c>
      <c r="I37" s="28">
        <f>'подпр Физ и спорт'!O157</f>
        <v>17959.636</v>
      </c>
      <c r="J37" s="31">
        <f>'подпр Физ и спорт'!P148</f>
        <v>2200</v>
      </c>
      <c r="K37" s="25"/>
      <c r="L37" s="13"/>
    </row>
    <row r="38" spans="1:12" ht="24" customHeight="1">
      <c r="A38" s="25"/>
      <c r="B38" s="26"/>
      <c r="C38" s="27">
        <v>2023</v>
      </c>
      <c r="D38" s="28">
        <f t="shared" si="12"/>
        <v>21383.502</v>
      </c>
      <c r="E38" s="31"/>
      <c r="F38" s="28">
        <f t="shared" si="13"/>
        <v>3988.5</v>
      </c>
      <c r="G38" s="28">
        <f>'подпр Физ и спорт'!H158</f>
        <v>3188</v>
      </c>
      <c r="H38" s="28">
        <f>'подпр Физ и спорт'!I157</f>
        <v>800.5</v>
      </c>
      <c r="I38" s="28">
        <f>'подпр Физ и спорт'!O158</f>
        <v>15195.001999999999</v>
      </c>
      <c r="J38" s="31">
        <f>'подпр Физ и спорт'!P149</f>
        <v>2200</v>
      </c>
      <c r="K38" s="25"/>
      <c r="L38" s="13"/>
    </row>
    <row r="39" spans="1:12" ht="24" customHeight="1">
      <c r="A39" s="25"/>
      <c r="B39" s="26"/>
      <c r="C39" s="27">
        <v>2024</v>
      </c>
      <c r="D39" s="28">
        <f t="shared" si="12"/>
        <v>21005.002</v>
      </c>
      <c r="E39" s="31"/>
      <c r="F39" s="28">
        <f t="shared" si="13"/>
        <v>3988.5</v>
      </c>
      <c r="G39" s="28">
        <f>'подпр Физ и спорт'!H159</f>
        <v>3188</v>
      </c>
      <c r="H39" s="28">
        <f>'подпр Физ и спорт'!I159</f>
        <v>800.5</v>
      </c>
      <c r="I39" s="28">
        <f>'подпр Физ и спорт'!O159</f>
        <v>14816.502</v>
      </c>
      <c r="J39" s="31">
        <f>'подпр Физ и спорт'!P150</f>
        <v>2200</v>
      </c>
      <c r="K39" s="25"/>
      <c r="L39" s="13"/>
    </row>
    <row r="40" spans="1:12" ht="18" customHeight="1">
      <c r="A40" s="25"/>
      <c r="B40" s="29" t="s">
        <v>28</v>
      </c>
      <c r="C40" s="30" t="s">
        <v>25</v>
      </c>
      <c r="D40" s="31">
        <f t="shared" si="12"/>
        <v>97274.07628000001</v>
      </c>
      <c r="E40" s="31">
        <f>SUM(E32:E39)</f>
        <v>0</v>
      </c>
      <c r="F40" s="31">
        <f>SUM(F32:F39)</f>
        <v>21729.35</v>
      </c>
      <c r="G40" s="31">
        <f>SUM(G32:G39)</f>
        <v>17319.9</v>
      </c>
      <c r="H40" s="31">
        <f>SUM(H32:H39)</f>
        <v>4409.45</v>
      </c>
      <c r="I40" s="31">
        <f>SUM(I32:I39)</f>
        <v>66744.72628</v>
      </c>
      <c r="J40" s="31">
        <f>SUM(J32:J39)</f>
        <v>8800</v>
      </c>
      <c r="K40" s="25"/>
      <c r="L40" s="13"/>
    </row>
    <row r="41" spans="1:12" ht="18" customHeight="1">
      <c r="A41" s="35" t="s">
        <v>29</v>
      </c>
      <c r="B41" s="36" t="s">
        <v>30</v>
      </c>
      <c r="C41" s="37">
        <v>2017</v>
      </c>
      <c r="D41" s="28">
        <f>I41</f>
        <v>13.1</v>
      </c>
      <c r="E41" s="31"/>
      <c r="F41" s="31"/>
      <c r="G41" s="31"/>
      <c r="H41" s="31"/>
      <c r="I41" s="28">
        <f>'подпр Прав культ'!I98</f>
        <v>13.1</v>
      </c>
      <c r="J41" s="31"/>
      <c r="K41" s="38" t="s">
        <v>19</v>
      </c>
      <c r="L41" s="13"/>
    </row>
    <row r="42" spans="1:12" ht="14.25" customHeight="1">
      <c r="A42" s="35"/>
      <c r="B42" s="36"/>
      <c r="C42" s="39">
        <v>2018</v>
      </c>
      <c r="D42" s="40">
        <f>H42+I42</f>
        <v>7.25</v>
      </c>
      <c r="E42" s="41"/>
      <c r="F42" s="41"/>
      <c r="G42" s="41"/>
      <c r="H42" s="41"/>
      <c r="I42" s="40">
        <f>'подпр Прав культ'!I99</f>
        <v>7.25</v>
      </c>
      <c r="J42" s="41"/>
      <c r="K42" s="38"/>
      <c r="L42" s="13"/>
    </row>
    <row r="43" spans="1:12" ht="15">
      <c r="A43" s="35"/>
      <c r="B43" s="36"/>
      <c r="C43" s="42">
        <v>2019</v>
      </c>
      <c r="D43" s="43">
        <f>'подпр Прав культ'!I100</f>
        <v>13.1</v>
      </c>
      <c r="E43" s="44"/>
      <c r="F43" s="44"/>
      <c r="G43" s="44"/>
      <c r="H43" s="44"/>
      <c r="I43" s="43">
        <f>D43</f>
        <v>13.1</v>
      </c>
      <c r="J43" s="44"/>
      <c r="K43" s="38"/>
      <c r="L43" s="13"/>
    </row>
    <row r="44" spans="1:12" ht="18" customHeight="1">
      <c r="A44" s="35"/>
      <c r="B44" s="36"/>
      <c r="C44" s="42">
        <v>2020</v>
      </c>
      <c r="D44" s="43">
        <f>'подпр Прав культ'!I101</f>
        <v>10.807</v>
      </c>
      <c r="E44" s="44"/>
      <c r="F44" s="44"/>
      <c r="G44" s="44"/>
      <c r="H44" s="44"/>
      <c r="I44" s="43">
        <f>'подпр Прав культ'!I101</f>
        <v>10.807</v>
      </c>
      <c r="J44" s="44"/>
      <c r="K44" s="38"/>
      <c r="L44" s="13"/>
    </row>
    <row r="45" spans="1:12" ht="18" customHeight="1">
      <c r="A45" s="35"/>
      <c r="B45" s="36"/>
      <c r="C45" s="42">
        <v>2021</v>
      </c>
      <c r="D45" s="43">
        <f aca="true" t="shared" si="14" ref="D45:D48">I45</f>
        <v>6.4990000000000006</v>
      </c>
      <c r="E45" s="44"/>
      <c r="F45" s="44"/>
      <c r="G45" s="44"/>
      <c r="H45" s="44"/>
      <c r="I45" s="43">
        <f>'подпр Прав культ'!I102</f>
        <v>6.4990000000000006</v>
      </c>
      <c r="J45" s="44"/>
      <c r="K45" s="38"/>
      <c r="L45" s="13"/>
    </row>
    <row r="46" spans="1:12" ht="18" customHeight="1">
      <c r="A46" s="35"/>
      <c r="B46" s="36"/>
      <c r="C46" s="42">
        <v>2022</v>
      </c>
      <c r="D46" s="43">
        <f t="shared" si="14"/>
        <v>1.5</v>
      </c>
      <c r="E46" s="44"/>
      <c r="F46" s="44"/>
      <c r="G46" s="44"/>
      <c r="H46" s="44"/>
      <c r="I46" s="43">
        <f>'подпр Прав культ'!I103</f>
        <v>1.5</v>
      </c>
      <c r="J46" s="44"/>
      <c r="K46" s="38"/>
      <c r="L46" s="13"/>
    </row>
    <row r="47" spans="1:12" ht="18" customHeight="1">
      <c r="A47" s="35"/>
      <c r="B47" s="36"/>
      <c r="C47" s="42">
        <v>2023</v>
      </c>
      <c r="D47" s="43">
        <f t="shared" si="14"/>
        <v>0</v>
      </c>
      <c r="E47" s="44"/>
      <c r="F47" s="44"/>
      <c r="G47" s="44"/>
      <c r="H47" s="44"/>
      <c r="I47" s="43">
        <f>'подпр Прав культ'!I104</f>
        <v>0</v>
      </c>
      <c r="J47" s="44"/>
      <c r="K47" s="38"/>
      <c r="L47" s="13"/>
    </row>
    <row r="48" spans="1:12" ht="18" customHeight="1">
      <c r="A48" s="35"/>
      <c r="B48" s="36"/>
      <c r="C48" s="42">
        <v>2024</v>
      </c>
      <c r="D48" s="43">
        <f t="shared" si="14"/>
        <v>0</v>
      </c>
      <c r="E48" s="44"/>
      <c r="F48" s="44"/>
      <c r="G48" s="44"/>
      <c r="H48" s="44"/>
      <c r="I48" s="43">
        <f>'подпр Прав культ'!I105</f>
        <v>0</v>
      </c>
      <c r="J48" s="44"/>
      <c r="K48" s="38"/>
      <c r="L48" s="13"/>
    </row>
    <row r="49" spans="1:12" ht="16.5" customHeight="1">
      <c r="A49" s="35"/>
      <c r="B49" s="45" t="s">
        <v>28</v>
      </c>
      <c r="C49" s="44" t="s">
        <v>21</v>
      </c>
      <c r="D49" s="44">
        <f>SUM(D41:D47)+D48</f>
        <v>52.25600000000001</v>
      </c>
      <c r="E49" s="44"/>
      <c r="F49" s="44"/>
      <c r="G49" s="44"/>
      <c r="H49" s="44"/>
      <c r="I49" s="44">
        <f>SUM(I41:I48)</f>
        <v>52.25600000000001</v>
      </c>
      <c r="J49" s="44"/>
      <c r="K49" s="38"/>
      <c r="L49" s="13"/>
    </row>
    <row r="50" spans="1:12" ht="16.5" customHeight="1">
      <c r="A50" s="46" t="s">
        <v>31</v>
      </c>
      <c r="B50" s="47" t="s">
        <v>32</v>
      </c>
      <c r="C50" s="48">
        <v>2020</v>
      </c>
      <c r="D50" s="46">
        <f aca="true" t="shared" si="15" ref="D50:D55">I50</f>
        <v>6.14</v>
      </c>
      <c r="E50" s="46"/>
      <c r="F50" s="46"/>
      <c r="G50" s="46"/>
      <c r="H50" s="46"/>
      <c r="I50" s="46">
        <f>'нац политика'!I17</f>
        <v>6.14</v>
      </c>
      <c r="J50" s="49"/>
      <c r="K50" s="50" t="s">
        <v>19</v>
      </c>
      <c r="L50" s="13"/>
    </row>
    <row r="51" spans="1:12" ht="21" customHeight="1">
      <c r="A51" s="46"/>
      <c r="B51" s="47"/>
      <c r="C51" s="48">
        <v>2021</v>
      </c>
      <c r="D51" s="46">
        <f t="shared" si="15"/>
        <v>104</v>
      </c>
      <c r="E51" s="46"/>
      <c r="F51" s="46"/>
      <c r="G51" s="46"/>
      <c r="H51" s="46"/>
      <c r="I51" s="46">
        <f>'нац политика'!I18</f>
        <v>104</v>
      </c>
      <c r="J51" s="49"/>
      <c r="K51" s="50"/>
      <c r="L51" s="13"/>
    </row>
    <row r="52" spans="1:12" ht="18.75" customHeight="1">
      <c r="A52" s="46"/>
      <c r="B52" s="47"/>
      <c r="C52" s="48">
        <v>2022</v>
      </c>
      <c r="D52" s="46">
        <f t="shared" si="15"/>
        <v>50</v>
      </c>
      <c r="E52" s="46"/>
      <c r="F52" s="46"/>
      <c r="G52" s="46"/>
      <c r="H52" s="46"/>
      <c r="I52" s="46">
        <f>'нац политика'!I19</f>
        <v>50</v>
      </c>
      <c r="J52" s="49"/>
      <c r="K52" s="50"/>
      <c r="L52" s="13"/>
    </row>
    <row r="53" spans="1:12" ht="15.75" customHeight="1">
      <c r="A53" s="46"/>
      <c r="B53" s="47"/>
      <c r="C53" s="48">
        <v>2023</v>
      </c>
      <c r="D53" s="46">
        <f t="shared" si="15"/>
        <v>50</v>
      </c>
      <c r="E53" s="46"/>
      <c r="F53" s="46"/>
      <c r="G53" s="46"/>
      <c r="H53" s="46"/>
      <c r="I53" s="46">
        <f>'нац политика'!I20</f>
        <v>50</v>
      </c>
      <c r="J53" s="49"/>
      <c r="K53" s="50"/>
      <c r="L53" s="13"/>
    </row>
    <row r="54" spans="1:12" ht="15" customHeight="1">
      <c r="A54" s="46"/>
      <c r="B54" s="47"/>
      <c r="C54" s="48">
        <v>2024</v>
      </c>
      <c r="D54" s="46">
        <f t="shared" si="15"/>
        <v>50</v>
      </c>
      <c r="E54" s="46"/>
      <c r="F54" s="46"/>
      <c r="G54" s="46"/>
      <c r="H54" s="46"/>
      <c r="I54" s="46">
        <f>'нац политика'!I46</f>
        <v>50</v>
      </c>
      <c r="J54" s="49"/>
      <c r="K54" s="50"/>
      <c r="L54" s="13"/>
    </row>
    <row r="55" spans="1:12" ht="16.5" customHeight="1">
      <c r="A55" s="46"/>
      <c r="B55" s="51" t="s">
        <v>28</v>
      </c>
      <c r="C55" s="52" t="s">
        <v>33</v>
      </c>
      <c r="D55" s="52">
        <f t="shared" si="15"/>
        <v>260.14</v>
      </c>
      <c r="E55" s="52"/>
      <c r="F55" s="52"/>
      <c r="G55" s="52"/>
      <c r="H55" s="52"/>
      <c r="I55" s="52">
        <f>SUM(I50:I54)</f>
        <v>260.14</v>
      </c>
      <c r="J55" s="49"/>
      <c r="K55" s="50"/>
      <c r="L55" s="13"/>
    </row>
    <row r="56" spans="1:12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0" ht="14.2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4.25">
      <c r="B59" s="13"/>
      <c r="C59" s="13"/>
      <c r="D59" s="13"/>
      <c r="E59" s="13"/>
      <c r="F59" s="13"/>
      <c r="G59" s="13"/>
      <c r="H59" s="13"/>
      <c r="I59" s="13"/>
      <c r="J59" s="13"/>
    </row>
    <row r="60" spans="2:10" ht="14.25">
      <c r="B60" s="13"/>
      <c r="C60" s="13"/>
      <c r="D60" s="13"/>
      <c r="E60" s="13"/>
      <c r="F60" s="13"/>
      <c r="G60" s="13"/>
      <c r="H60" s="13"/>
      <c r="I60" s="13"/>
      <c r="J60" s="13"/>
    </row>
    <row r="61" spans="2:10" ht="14.25">
      <c r="B61" s="13"/>
      <c r="C61" s="13"/>
      <c r="D61" s="13"/>
      <c r="E61" s="13"/>
      <c r="F61" s="13"/>
      <c r="G61" s="13"/>
      <c r="H61" s="13"/>
      <c r="I61" s="13"/>
      <c r="J61" s="13"/>
    </row>
    <row r="62" spans="2:10" ht="14.25">
      <c r="B62" s="13"/>
      <c r="C62" s="13"/>
      <c r="D62" s="13"/>
      <c r="E62" s="13"/>
      <c r="F62" s="13"/>
      <c r="G62" s="13"/>
      <c r="H62" s="13"/>
      <c r="I62" s="13"/>
      <c r="J62" s="13"/>
    </row>
    <row r="63" spans="2:10" ht="14.25">
      <c r="B63" s="13"/>
      <c r="C63" s="13"/>
      <c r="D63" s="13"/>
      <c r="E63" s="13"/>
      <c r="F63" s="13"/>
      <c r="G63" s="13"/>
      <c r="H63" s="13"/>
      <c r="I63" s="13"/>
      <c r="J63" s="13"/>
    </row>
    <row r="64" spans="2:10" ht="14.25">
      <c r="B64" s="13"/>
      <c r="C64" s="13"/>
      <c r="D64" s="13"/>
      <c r="E64" s="13"/>
      <c r="F64" s="13"/>
      <c r="G64" s="13"/>
      <c r="H64" s="13"/>
      <c r="I64" s="13"/>
      <c r="J64" s="13"/>
    </row>
    <row r="65" spans="2:10" ht="14.25">
      <c r="B65" s="13"/>
      <c r="C65" s="13"/>
      <c r="D65" s="13"/>
      <c r="E65" s="13"/>
      <c r="F65" s="13"/>
      <c r="G65" s="13"/>
      <c r="H65" s="13"/>
      <c r="I65" s="13"/>
      <c r="J65" s="13"/>
    </row>
    <row r="66" spans="2:10" ht="14.25">
      <c r="B66" s="13"/>
      <c r="C66" s="13"/>
      <c r="D66" s="13"/>
      <c r="E66" s="13"/>
      <c r="F66" s="13"/>
      <c r="G66" s="13"/>
      <c r="H66" s="13"/>
      <c r="I66" s="13"/>
      <c r="J66" s="13"/>
    </row>
    <row r="67" spans="2:10" ht="14.25">
      <c r="B67" s="13"/>
      <c r="C67" s="13"/>
      <c r="D67" s="13"/>
      <c r="E67" s="13"/>
      <c r="F67" s="13"/>
      <c r="G67" s="13"/>
      <c r="H67" s="13"/>
      <c r="I67" s="13"/>
      <c r="J67" s="13"/>
    </row>
    <row r="68" spans="2:10" ht="14.25">
      <c r="B68" s="13"/>
      <c r="C68" s="13"/>
      <c r="D68" s="13"/>
      <c r="E68" s="13"/>
      <c r="F68" s="13"/>
      <c r="G68" s="13"/>
      <c r="H68" s="13"/>
      <c r="I68" s="13"/>
      <c r="J68" s="13"/>
    </row>
    <row r="69" spans="2:10" ht="14.25">
      <c r="B69" s="13"/>
      <c r="C69" s="13"/>
      <c r="D69" s="13"/>
      <c r="E69" s="13"/>
      <c r="F69" s="13"/>
      <c r="G69" s="13"/>
      <c r="H69" s="13"/>
      <c r="I69" s="13"/>
      <c r="J69" s="13"/>
    </row>
    <row r="70" spans="2:10" ht="14.25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4.25">
      <c r="B71" s="13"/>
      <c r="C71" s="13"/>
      <c r="D71" s="13"/>
      <c r="E71" s="13"/>
      <c r="F71" s="13"/>
      <c r="G71" s="13"/>
      <c r="H71" s="13"/>
      <c r="I71" s="13"/>
      <c r="J71" s="13"/>
    </row>
    <row r="72" spans="2:10" ht="14.25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14.25">
      <c r="B73" s="13"/>
      <c r="C73" s="13"/>
      <c r="D73" s="13"/>
      <c r="E73" s="13"/>
      <c r="F73" s="13"/>
      <c r="G73" s="13"/>
      <c r="H73" s="13"/>
      <c r="I73" s="13"/>
      <c r="J73" s="13"/>
    </row>
    <row r="74" spans="2:10" ht="14.25">
      <c r="B74" s="13"/>
      <c r="C74" s="13"/>
      <c r="D74" s="13"/>
      <c r="E74" s="13"/>
      <c r="F74" s="13"/>
      <c r="G74" s="13"/>
      <c r="H74" s="13"/>
      <c r="I74" s="13"/>
      <c r="J74" s="13"/>
    </row>
    <row r="75" spans="2:10" ht="14.25">
      <c r="B75" s="13"/>
      <c r="C75" s="13"/>
      <c r="D75" s="13"/>
      <c r="E75" s="13"/>
      <c r="F75" s="13"/>
      <c r="G75" s="13"/>
      <c r="H75" s="13"/>
      <c r="I75" s="13"/>
      <c r="J75" s="13"/>
    </row>
    <row r="76" spans="2:10" ht="14.25">
      <c r="B76" s="13"/>
      <c r="C76" s="13"/>
      <c r="D76" s="13"/>
      <c r="E76" s="13"/>
      <c r="F76" s="13"/>
      <c r="G76" s="13"/>
      <c r="H76" s="13"/>
      <c r="I76" s="13"/>
      <c r="J76" s="13"/>
    </row>
    <row r="77" spans="2:10" ht="14.25">
      <c r="B77" s="13"/>
      <c r="C77" s="13"/>
      <c r="D77" s="13"/>
      <c r="E77" s="13"/>
      <c r="F77" s="13"/>
      <c r="G77" s="13"/>
      <c r="H77" s="13"/>
      <c r="I77" s="13"/>
      <c r="J77" s="13"/>
    </row>
  </sheetData>
  <sheetProtection selectLockedCells="1" selectUnlockedCells="1"/>
  <mergeCells count="33">
    <mergeCell ref="K1:L1"/>
    <mergeCell ref="A2:L2"/>
    <mergeCell ref="J3:L3"/>
    <mergeCell ref="J4:L4"/>
    <mergeCell ref="K5:L5"/>
    <mergeCell ref="A7:K7"/>
    <mergeCell ref="A8:A10"/>
    <mergeCell ref="B8:B10"/>
    <mergeCell ref="C8:C10"/>
    <mergeCell ref="E8:I8"/>
    <mergeCell ref="J8:J12"/>
    <mergeCell ref="K8:K10"/>
    <mergeCell ref="E9:E12"/>
    <mergeCell ref="F9:I9"/>
    <mergeCell ref="F10:H10"/>
    <mergeCell ref="I10:I12"/>
    <mergeCell ref="F11:F12"/>
    <mergeCell ref="G11:H11"/>
    <mergeCell ref="A14:A22"/>
    <mergeCell ref="B14:B21"/>
    <mergeCell ref="K14:K22"/>
    <mergeCell ref="A23:A31"/>
    <mergeCell ref="B23:B30"/>
    <mergeCell ref="K23:K31"/>
    <mergeCell ref="A32:A40"/>
    <mergeCell ref="B32:B39"/>
    <mergeCell ref="K32:K40"/>
    <mergeCell ref="A41:A49"/>
    <mergeCell ref="B41:B48"/>
    <mergeCell ref="K41:K49"/>
    <mergeCell ref="A50:A55"/>
    <mergeCell ref="B50:B54"/>
    <mergeCell ref="K50:K55"/>
  </mergeCells>
  <printOptions/>
  <pageMargins left="0.7083333333333334" right="0.7083333333333334" top="0.3541666666666667" bottom="0.7479166666666667" header="0.5118055555555555" footer="0.5118055555555555"/>
  <pageSetup fitToHeight="2" fitToWidth="1" horizontalDpi="300" verticalDpi="300" orientation="landscape" paperSize="9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24"/>
  <sheetViews>
    <sheetView zoomScale="80" zoomScaleNormal="80" zoomScaleSheetLayoutView="100" workbookViewId="0" topLeftCell="D1">
      <selection activeCell="A3" sqref="A3"/>
    </sheetView>
  </sheetViews>
  <sheetFormatPr defaultColWidth="9.140625" defaultRowHeight="15"/>
  <cols>
    <col min="1" max="1" width="12.421875" style="0" customWidth="1"/>
    <col min="2" max="2" width="39.8515625" style="0" customWidth="1"/>
    <col min="3" max="3" width="11.421875" style="0" customWidth="1"/>
    <col min="4" max="4" width="18.421875" style="53" customWidth="1"/>
    <col min="5" max="5" width="11.8515625" style="0" customWidth="1"/>
    <col min="6" max="6" width="13.8515625" style="0" customWidth="1"/>
    <col min="7" max="7" width="11.57421875" style="0" customWidth="1"/>
    <col min="8" max="8" width="17.421875" style="54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12" ht="14.25">
      <c r="A1" s="13"/>
      <c r="B1" s="13"/>
      <c r="C1" s="13"/>
      <c r="D1" s="55"/>
      <c r="E1" s="13"/>
      <c r="F1" s="13"/>
      <c r="G1" s="13"/>
      <c r="H1" s="56"/>
      <c r="I1" s="13"/>
      <c r="J1" s="13"/>
      <c r="K1" s="57"/>
      <c r="L1" s="13"/>
    </row>
    <row r="2" spans="1:23" ht="14.25">
      <c r="A2" s="13"/>
      <c r="B2" s="13"/>
      <c r="C2" s="58"/>
      <c r="D2" s="58"/>
      <c r="E2" s="58"/>
      <c r="F2" s="58"/>
      <c r="G2" s="58"/>
      <c r="H2" s="58"/>
      <c r="I2" s="58"/>
      <c r="J2" s="58"/>
      <c r="K2" s="11"/>
      <c r="L2" s="11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4.25" customHeight="1">
      <c r="A3" s="13"/>
      <c r="B3" s="13"/>
      <c r="C3" s="58"/>
      <c r="D3" s="58"/>
      <c r="E3" s="58"/>
      <c r="F3" s="58"/>
      <c r="G3" s="58"/>
      <c r="H3" s="58"/>
      <c r="I3" s="58"/>
      <c r="J3" s="58"/>
      <c r="K3" s="11" t="s">
        <v>34</v>
      </c>
      <c r="L3" s="11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4.25">
      <c r="A4" s="5"/>
      <c r="B4" s="5"/>
      <c r="C4" s="5"/>
      <c r="D4" s="5"/>
      <c r="E4" s="5"/>
      <c r="F4" s="5"/>
      <c r="G4" s="5"/>
      <c r="H4" s="5"/>
      <c r="I4" s="5"/>
      <c r="J4" s="5"/>
      <c r="K4" s="11" t="s">
        <v>35</v>
      </c>
      <c r="L4" s="11"/>
      <c r="M4" s="60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12" ht="14.25">
      <c r="A5" s="8"/>
      <c r="B5" s="8"/>
      <c r="C5" s="8"/>
      <c r="D5" s="9"/>
      <c r="E5" s="8"/>
      <c r="F5" s="8"/>
      <c r="G5" s="8"/>
      <c r="H5" s="61"/>
      <c r="I5" s="8"/>
      <c r="J5" s="8"/>
      <c r="K5" s="58"/>
      <c r="L5" s="58"/>
    </row>
    <row r="6" spans="1:12" ht="14.25">
      <c r="A6" s="8"/>
      <c r="B6" s="8"/>
      <c r="C6" s="8"/>
      <c r="D6" s="9"/>
      <c r="E6" s="8"/>
      <c r="F6" s="8"/>
      <c r="G6" s="8"/>
      <c r="H6" s="61"/>
      <c r="I6" s="8"/>
      <c r="J6" s="8"/>
      <c r="K6" s="58"/>
      <c r="L6" s="58"/>
    </row>
    <row r="7" spans="1:12" ht="19.5" customHeight="1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9.5" customHeight="1">
      <c r="A8" s="17" t="s">
        <v>37</v>
      </c>
      <c r="B8" s="17" t="s">
        <v>38</v>
      </c>
      <c r="C8" s="17" t="s">
        <v>4</v>
      </c>
      <c r="D8" s="63" t="s">
        <v>39</v>
      </c>
      <c r="E8" s="17" t="s">
        <v>40</v>
      </c>
      <c r="F8" s="17"/>
      <c r="G8" s="17"/>
      <c r="H8" s="17"/>
      <c r="I8" s="17"/>
      <c r="J8" s="64" t="s">
        <v>41</v>
      </c>
      <c r="K8" s="64" t="s">
        <v>42</v>
      </c>
      <c r="L8" s="64" t="s">
        <v>43</v>
      </c>
    </row>
    <row r="9" spans="1:12" ht="19.5" customHeight="1">
      <c r="A9" s="17"/>
      <c r="B9" s="17"/>
      <c r="C9" s="17"/>
      <c r="D9" s="63"/>
      <c r="E9" s="17"/>
      <c r="F9" s="17" t="s">
        <v>10</v>
      </c>
      <c r="G9" s="17"/>
      <c r="H9" s="17"/>
      <c r="I9" s="17"/>
      <c r="J9" s="64"/>
      <c r="K9" s="64"/>
      <c r="L9" s="64"/>
    </row>
    <row r="10" spans="1:12" ht="19.5" customHeight="1">
      <c r="A10" s="17"/>
      <c r="B10" s="17"/>
      <c r="C10" s="17"/>
      <c r="D10" s="63"/>
      <c r="E10" s="17" t="s">
        <v>44</v>
      </c>
      <c r="F10" s="17" t="s">
        <v>45</v>
      </c>
      <c r="G10" s="17"/>
      <c r="H10" s="17"/>
      <c r="I10" s="17" t="s">
        <v>46</v>
      </c>
      <c r="J10" s="64"/>
      <c r="K10" s="64"/>
      <c r="L10" s="64"/>
    </row>
    <row r="11" spans="1:12" ht="19.5" customHeight="1">
      <c r="A11" s="17"/>
      <c r="B11" s="17"/>
      <c r="C11" s="17"/>
      <c r="D11" s="63"/>
      <c r="E11" s="17"/>
      <c r="F11" s="17" t="s">
        <v>13</v>
      </c>
      <c r="G11" s="17" t="s">
        <v>14</v>
      </c>
      <c r="H11" s="17"/>
      <c r="I11" s="17"/>
      <c r="J11" s="64"/>
      <c r="K11" s="64"/>
      <c r="L11" s="64"/>
    </row>
    <row r="12" spans="1:12" ht="56.25" customHeight="1">
      <c r="A12" s="17"/>
      <c r="B12" s="17"/>
      <c r="C12" s="17"/>
      <c r="D12" s="63"/>
      <c r="E12" s="17"/>
      <c r="F12" s="17"/>
      <c r="G12" s="17" t="s">
        <v>15</v>
      </c>
      <c r="H12" s="65" t="s">
        <v>47</v>
      </c>
      <c r="I12" s="17"/>
      <c r="J12" s="64"/>
      <c r="K12" s="64"/>
      <c r="L12" s="64"/>
    </row>
    <row r="13" spans="1:12" ht="19.5" customHeight="1">
      <c r="A13" s="17">
        <v>1</v>
      </c>
      <c r="B13" s="17">
        <v>2</v>
      </c>
      <c r="C13" s="17">
        <v>3</v>
      </c>
      <c r="D13" s="66">
        <v>4</v>
      </c>
      <c r="E13" s="17">
        <v>5</v>
      </c>
      <c r="F13" s="17">
        <v>6</v>
      </c>
      <c r="G13" s="17">
        <v>7</v>
      </c>
      <c r="H13" s="67">
        <v>8</v>
      </c>
      <c r="I13" s="17">
        <v>9</v>
      </c>
      <c r="J13" s="17">
        <v>10</v>
      </c>
      <c r="K13" s="17">
        <v>11</v>
      </c>
      <c r="L13" s="17">
        <v>12</v>
      </c>
    </row>
    <row r="14" spans="1:12" ht="19.5" customHeight="1">
      <c r="A14" s="68" t="s">
        <v>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9.5" customHeight="1">
      <c r="A15" s="69" t="s">
        <v>49</v>
      </c>
      <c r="B15" s="70" t="s">
        <v>50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9.5" customHeight="1">
      <c r="A16" s="69" t="s">
        <v>51</v>
      </c>
      <c r="B16" s="70" t="s">
        <v>52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s="13" customFormat="1" ht="19.5" customHeight="1">
      <c r="A17" s="18" t="s">
        <v>22</v>
      </c>
      <c r="B17" s="18" t="s">
        <v>53</v>
      </c>
      <c r="C17" s="71">
        <v>2017</v>
      </c>
      <c r="D17" s="72">
        <f>I17</f>
        <v>50</v>
      </c>
      <c r="E17" s="72">
        <v>0</v>
      </c>
      <c r="F17" s="72"/>
      <c r="G17" s="72"/>
      <c r="H17" s="72">
        <v>0</v>
      </c>
      <c r="I17" s="72">
        <v>50</v>
      </c>
      <c r="J17" s="73"/>
      <c r="K17" s="18" t="s">
        <v>54</v>
      </c>
      <c r="L17" s="18" t="s">
        <v>55</v>
      </c>
    </row>
    <row r="18" spans="1:12" s="13" customFormat="1" ht="19.5" customHeight="1">
      <c r="A18" s="18"/>
      <c r="B18" s="18"/>
      <c r="C18" s="67">
        <v>2018</v>
      </c>
      <c r="D18" s="18">
        <f aca="true" t="shared" si="0" ref="D18:D20">H18+I18</f>
        <v>50</v>
      </c>
      <c r="E18" s="18">
        <v>0</v>
      </c>
      <c r="F18" s="18"/>
      <c r="G18" s="18"/>
      <c r="H18" s="18">
        <v>0</v>
      </c>
      <c r="I18" s="18">
        <v>50</v>
      </c>
      <c r="J18" s="73"/>
      <c r="K18" s="18"/>
      <c r="L18" s="18"/>
    </row>
    <row r="19" spans="1:12" s="13" customFormat="1" ht="19.5" customHeight="1">
      <c r="A19" s="18"/>
      <c r="B19" s="18"/>
      <c r="C19" s="74">
        <v>2019</v>
      </c>
      <c r="D19" s="75">
        <f t="shared" si="0"/>
        <v>52.52636</v>
      </c>
      <c r="E19" s="75">
        <v>0</v>
      </c>
      <c r="F19" s="75"/>
      <c r="G19" s="75"/>
      <c r="H19" s="75">
        <v>0</v>
      </c>
      <c r="I19" s="75">
        <f>50+2.52636</f>
        <v>52.52636</v>
      </c>
      <c r="J19" s="76"/>
      <c r="K19" s="18"/>
      <c r="L19" s="18"/>
    </row>
    <row r="20" spans="1:12" s="13" customFormat="1" ht="19.5" customHeight="1">
      <c r="A20" s="18"/>
      <c r="B20" s="18"/>
      <c r="C20" s="67">
        <v>2020</v>
      </c>
      <c r="D20" s="18">
        <f t="shared" si="0"/>
        <v>0</v>
      </c>
      <c r="E20" s="18">
        <v>0</v>
      </c>
      <c r="F20" s="18"/>
      <c r="G20" s="18"/>
      <c r="H20" s="18">
        <v>0</v>
      </c>
      <c r="I20" s="18">
        <v>0</v>
      </c>
      <c r="J20" s="73"/>
      <c r="K20" s="18"/>
      <c r="L20" s="18"/>
    </row>
    <row r="21" spans="1:12" s="13" customFormat="1" ht="19.5" customHeight="1">
      <c r="A21" s="18"/>
      <c r="B21" s="18"/>
      <c r="C21" s="67">
        <v>2021</v>
      </c>
      <c r="D21" s="18">
        <f>E21+F21+I21+J21</f>
        <v>49.999</v>
      </c>
      <c r="E21" s="18">
        <v>0</v>
      </c>
      <c r="F21" s="18"/>
      <c r="G21" s="18"/>
      <c r="H21" s="18">
        <v>0</v>
      </c>
      <c r="I21" s="18">
        <f>50-0.001</f>
        <v>49.999</v>
      </c>
      <c r="J21" s="73"/>
      <c r="K21" s="18"/>
      <c r="L21" s="18"/>
    </row>
    <row r="22" spans="1:12" s="13" customFormat="1" ht="19.5" customHeight="1">
      <c r="A22" s="18"/>
      <c r="B22" s="18"/>
      <c r="C22" s="67">
        <v>2022</v>
      </c>
      <c r="D22" s="18">
        <f aca="true" t="shared" si="1" ref="D22:D25">I22</f>
        <v>0</v>
      </c>
      <c r="E22" s="18">
        <v>0</v>
      </c>
      <c r="F22" s="18"/>
      <c r="G22" s="18"/>
      <c r="H22" s="18">
        <v>0</v>
      </c>
      <c r="I22" s="18">
        <v>0</v>
      </c>
      <c r="J22" s="73"/>
      <c r="K22" s="18"/>
      <c r="L22" s="18"/>
    </row>
    <row r="23" spans="1:12" s="13" customFormat="1" ht="19.5" customHeight="1">
      <c r="A23" s="18"/>
      <c r="B23" s="18"/>
      <c r="C23" s="67">
        <v>2023</v>
      </c>
      <c r="D23" s="18">
        <f t="shared" si="1"/>
        <v>0</v>
      </c>
      <c r="E23" s="18">
        <v>0</v>
      </c>
      <c r="F23" s="18"/>
      <c r="G23" s="18"/>
      <c r="H23" s="18">
        <v>0</v>
      </c>
      <c r="I23" s="18">
        <v>0</v>
      </c>
      <c r="J23" s="73"/>
      <c r="K23" s="18"/>
      <c r="L23" s="18"/>
    </row>
    <row r="24" spans="1:12" s="13" customFormat="1" ht="19.5" customHeight="1">
      <c r="A24" s="18"/>
      <c r="B24" s="18"/>
      <c r="C24" s="67">
        <v>2024</v>
      </c>
      <c r="D24" s="18">
        <f t="shared" si="1"/>
        <v>0</v>
      </c>
      <c r="E24" s="18">
        <v>0</v>
      </c>
      <c r="F24" s="18"/>
      <c r="G24" s="18"/>
      <c r="H24" s="18">
        <v>0</v>
      </c>
      <c r="I24" s="18">
        <v>0</v>
      </c>
      <c r="J24" s="73"/>
      <c r="K24" s="77"/>
      <c r="L24" s="18"/>
    </row>
    <row r="25" spans="1:12" s="13" customFormat="1" ht="19.5" customHeight="1">
      <c r="A25" s="18" t="s">
        <v>26</v>
      </c>
      <c r="B25" s="18" t="s">
        <v>56</v>
      </c>
      <c r="C25" s="67">
        <v>2017</v>
      </c>
      <c r="D25" s="18">
        <f t="shared" si="1"/>
        <v>44.99</v>
      </c>
      <c r="E25" s="18">
        <v>0</v>
      </c>
      <c r="F25" s="18"/>
      <c r="G25" s="18"/>
      <c r="H25" s="18">
        <v>0</v>
      </c>
      <c r="I25" s="18">
        <v>44.99</v>
      </c>
      <c r="J25" s="73"/>
      <c r="K25" s="18" t="s">
        <v>54</v>
      </c>
      <c r="L25" s="18"/>
    </row>
    <row r="26" spans="1:12" s="13" customFormat="1" ht="19.5" customHeight="1">
      <c r="A26" s="18"/>
      <c r="B26" s="18"/>
      <c r="C26" s="78">
        <v>2018</v>
      </c>
      <c r="D26" s="18">
        <f aca="true" t="shared" si="2" ref="D26:D27">SUM(E26:I26)</f>
        <v>20</v>
      </c>
      <c r="E26" s="18">
        <v>0</v>
      </c>
      <c r="F26" s="18"/>
      <c r="G26" s="18"/>
      <c r="H26" s="18">
        <v>0</v>
      </c>
      <c r="I26" s="18">
        <v>20</v>
      </c>
      <c r="J26" s="79"/>
      <c r="K26" s="18"/>
      <c r="L26" s="18"/>
    </row>
    <row r="27" spans="1:12" s="13" customFormat="1" ht="19.5" customHeight="1">
      <c r="A27" s="18"/>
      <c r="B27" s="18"/>
      <c r="C27" s="80">
        <v>2019</v>
      </c>
      <c r="D27" s="81">
        <f t="shared" si="2"/>
        <v>20</v>
      </c>
      <c r="E27" s="81">
        <v>0</v>
      </c>
      <c r="F27" s="81"/>
      <c r="G27" s="81"/>
      <c r="H27" s="81">
        <v>0</v>
      </c>
      <c r="I27" s="81">
        <v>20</v>
      </c>
      <c r="J27" s="82"/>
      <c r="K27" s="18"/>
      <c r="L27" s="18"/>
    </row>
    <row r="28" spans="1:12" s="13" customFormat="1" ht="19.5" customHeight="1">
      <c r="A28" s="18"/>
      <c r="B28" s="18"/>
      <c r="C28" s="67">
        <v>2020</v>
      </c>
      <c r="D28" s="18">
        <f>SUM(E28:I29)</f>
        <v>16.693</v>
      </c>
      <c r="E28" s="18">
        <v>0</v>
      </c>
      <c r="F28" s="18"/>
      <c r="G28" s="18"/>
      <c r="H28" s="18">
        <v>0</v>
      </c>
      <c r="I28" s="18">
        <f>20-3.307</f>
        <v>16.693</v>
      </c>
      <c r="J28" s="79"/>
      <c r="K28" s="18"/>
      <c r="L28" s="18"/>
    </row>
    <row r="29" spans="1:12" s="13" customFormat="1" ht="0.75" customHeight="1">
      <c r="A29" s="18"/>
      <c r="B29" s="18"/>
      <c r="C29" s="67"/>
      <c r="D29" s="18"/>
      <c r="E29" s="18"/>
      <c r="F29" s="18"/>
      <c r="G29" s="18"/>
      <c r="H29" s="18"/>
      <c r="I29" s="18"/>
      <c r="J29" s="79"/>
      <c r="K29" s="18"/>
      <c r="L29" s="18"/>
    </row>
    <row r="30" spans="1:12" s="13" customFormat="1" ht="19.5" customHeight="1">
      <c r="A30" s="18"/>
      <c r="B30" s="18"/>
      <c r="C30" s="67">
        <v>2021</v>
      </c>
      <c r="D30" s="18">
        <f>E30+F30+I30+J30</f>
        <v>10</v>
      </c>
      <c r="E30" s="18">
        <v>0</v>
      </c>
      <c r="F30" s="18"/>
      <c r="G30" s="18"/>
      <c r="H30" s="18">
        <v>0</v>
      </c>
      <c r="I30" s="18">
        <v>10</v>
      </c>
      <c r="J30" s="79"/>
      <c r="K30" s="18"/>
      <c r="L30" s="18"/>
    </row>
    <row r="31" spans="1:12" s="13" customFormat="1" ht="19.5" customHeight="1">
      <c r="A31" s="18"/>
      <c r="B31" s="18"/>
      <c r="C31" s="67">
        <v>2022</v>
      </c>
      <c r="D31" s="18">
        <f aca="true" t="shared" si="3" ref="D31:D34">I31</f>
        <v>10</v>
      </c>
      <c r="E31" s="18">
        <v>0</v>
      </c>
      <c r="F31" s="18"/>
      <c r="G31" s="18"/>
      <c r="H31" s="18">
        <v>0</v>
      </c>
      <c r="I31" s="18">
        <v>10</v>
      </c>
      <c r="J31" s="79"/>
      <c r="K31" s="18"/>
      <c r="L31" s="18"/>
    </row>
    <row r="32" spans="1:12" s="13" customFormat="1" ht="19.5" customHeight="1">
      <c r="A32" s="18"/>
      <c r="B32" s="18"/>
      <c r="C32" s="67">
        <v>2023</v>
      </c>
      <c r="D32" s="18">
        <f t="shared" si="3"/>
        <v>0</v>
      </c>
      <c r="E32" s="18">
        <v>0</v>
      </c>
      <c r="F32" s="18"/>
      <c r="G32" s="18"/>
      <c r="H32" s="18">
        <v>0</v>
      </c>
      <c r="I32" s="18">
        <v>0</v>
      </c>
      <c r="J32" s="79"/>
      <c r="K32" s="18"/>
      <c r="L32" s="18"/>
    </row>
    <row r="33" spans="1:12" s="13" customFormat="1" ht="19.5" customHeight="1">
      <c r="A33" s="18"/>
      <c r="B33" s="18"/>
      <c r="C33" s="67">
        <v>2024</v>
      </c>
      <c r="D33" s="18">
        <f t="shared" si="3"/>
        <v>0</v>
      </c>
      <c r="E33" s="18">
        <v>0</v>
      </c>
      <c r="F33" s="18"/>
      <c r="G33" s="18"/>
      <c r="H33" s="18">
        <v>0</v>
      </c>
      <c r="I33" s="18">
        <v>0</v>
      </c>
      <c r="J33" s="79"/>
      <c r="K33" s="77"/>
      <c r="L33" s="77"/>
    </row>
    <row r="34" spans="1:12" s="13" customFormat="1" ht="19.5" customHeight="1">
      <c r="A34" s="18" t="s">
        <v>29</v>
      </c>
      <c r="B34" s="18" t="s">
        <v>57</v>
      </c>
      <c r="C34" s="67">
        <v>2017</v>
      </c>
      <c r="D34" s="18">
        <f t="shared" si="3"/>
        <v>7</v>
      </c>
      <c r="E34" s="18">
        <v>0</v>
      </c>
      <c r="F34" s="18"/>
      <c r="G34" s="18"/>
      <c r="H34" s="18">
        <v>0</v>
      </c>
      <c r="I34" s="18">
        <v>7</v>
      </c>
      <c r="J34" s="79"/>
      <c r="K34" s="18" t="s">
        <v>54</v>
      </c>
      <c r="L34" s="18" t="s">
        <v>58</v>
      </c>
    </row>
    <row r="35" spans="1:12" s="13" customFormat="1" ht="19.5" customHeight="1">
      <c r="A35" s="18"/>
      <c r="B35" s="18"/>
      <c r="C35" s="67">
        <v>2018</v>
      </c>
      <c r="D35" s="18">
        <f>E35+H35+I35</f>
        <v>0</v>
      </c>
      <c r="E35" s="18">
        <v>0</v>
      </c>
      <c r="F35" s="18"/>
      <c r="G35" s="18"/>
      <c r="H35" s="18">
        <v>0</v>
      </c>
      <c r="I35" s="18">
        <v>0</v>
      </c>
      <c r="J35" s="83"/>
      <c r="K35" s="18"/>
      <c r="L35" s="18"/>
    </row>
    <row r="36" spans="1:12" s="13" customFormat="1" ht="19.5" customHeight="1">
      <c r="A36" s="18"/>
      <c r="B36" s="18"/>
      <c r="C36" s="67">
        <v>2019</v>
      </c>
      <c r="D36" s="18">
        <f>SUM(E36:I36)</f>
        <v>0</v>
      </c>
      <c r="E36" s="18">
        <v>0</v>
      </c>
      <c r="F36" s="18"/>
      <c r="G36" s="18"/>
      <c r="H36" s="18">
        <v>0</v>
      </c>
      <c r="I36" s="18">
        <v>0</v>
      </c>
      <c r="J36" s="83"/>
      <c r="K36" s="18"/>
      <c r="L36" s="18"/>
    </row>
    <row r="37" spans="1:12" s="13" customFormat="1" ht="19.5" customHeight="1">
      <c r="A37" s="18"/>
      <c r="B37" s="18"/>
      <c r="C37" s="67">
        <v>2020</v>
      </c>
      <c r="D37" s="18">
        <f>I37</f>
        <v>0</v>
      </c>
      <c r="E37" s="18">
        <v>0</v>
      </c>
      <c r="F37" s="18"/>
      <c r="G37" s="18"/>
      <c r="H37" s="18">
        <v>0</v>
      </c>
      <c r="I37" s="18">
        <v>0</v>
      </c>
      <c r="J37" s="83"/>
      <c r="K37" s="18"/>
      <c r="L37" s="18"/>
    </row>
    <row r="38" spans="1:12" s="13" customFormat="1" ht="19.5" customHeight="1">
      <c r="A38" s="18"/>
      <c r="B38" s="18"/>
      <c r="C38" s="67">
        <v>2021</v>
      </c>
      <c r="D38" s="18">
        <f aca="true" t="shared" si="4" ref="D38:D40">E38+F38+I38+J38</f>
        <v>0</v>
      </c>
      <c r="E38" s="18">
        <v>0</v>
      </c>
      <c r="F38" s="18"/>
      <c r="G38" s="18"/>
      <c r="H38" s="18">
        <v>0</v>
      </c>
      <c r="I38" s="18">
        <v>0</v>
      </c>
      <c r="J38" s="83"/>
      <c r="K38" s="18"/>
      <c r="L38" s="18"/>
    </row>
    <row r="39" spans="1:12" s="13" customFormat="1" ht="19.5" customHeight="1">
      <c r="A39" s="18"/>
      <c r="B39" s="18"/>
      <c r="C39" s="67">
        <v>2022</v>
      </c>
      <c r="D39" s="18">
        <f t="shared" si="4"/>
        <v>0</v>
      </c>
      <c r="E39" s="18">
        <v>0</v>
      </c>
      <c r="F39" s="18"/>
      <c r="G39" s="18"/>
      <c r="H39" s="18">
        <v>0</v>
      </c>
      <c r="I39" s="18">
        <v>0</v>
      </c>
      <c r="J39" s="83"/>
      <c r="K39" s="18"/>
      <c r="L39" s="18"/>
    </row>
    <row r="40" spans="1:12" s="13" customFormat="1" ht="19.5" customHeight="1">
      <c r="A40" s="18"/>
      <c r="B40" s="18"/>
      <c r="C40" s="67">
        <v>2023</v>
      </c>
      <c r="D40" s="18">
        <f t="shared" si="4"/>
        <v>0</v>
      </c>
      <c r="E40" s="18">
        <v>0</v>
      </c>
      <c r="F40" s="18"/>
      <c r="G40" s="18"/>
      <c r="H40" s="18">
        <v>0</v>
      </c>
      <c r="I40" s="18">
        <v>0</v>
      </c>
      <c r="J40" s="83"/>
      <c r="K40" s="18"/>
      <c r="L40" s="18"/>
    </row>
    <row r="41" spans="1:12" s="13" customFormat="1" ht="19.5" customHeight="1">
      <c r="A41" s="18"/>
      <c r="B41" s="18"/>
      <c r="C41" s="67">
        <v>2024</v>
      </c>
      <c r="D41" s="18">
        <f aca="true" t="shared" si="5" ref="D41:D42">I41</f>
        <v>0</v>
      </c>
      <c r="E41" s="18">
        <v>0</v>
      </c>
      <c r="F41" s="18"/>
      <c r="G41" s="18"/>
      <c r="H41" s="18">
        <v>0</v>
      </c>
      <c r="I41" s="18">
        <v>0</v>
      </c>
      <c r="J41" s="83"/>
      <c r="K41" s="77"/>
      <c r="L41" s="77"/>
    </row>
    <row r="42" spans="1:12" s="13" customFormat="1" ht="19.5" customHeight="1">
      <c r="A42" s="18" t="s">
        <v>31</v>
      </c>
      <c r="B42" s="18" t="s">
        <v>59</v>
      </c>
      <c r="C42" s="67">
        <v>2017</v>
      </c>
      <c r="D42" s="18">
        <f t="shared" si="5"/>
        <v>8</v>
      </c>
      <c r="E42" s="18">
        <v>0</v>
      </c>
      <c r="F42" s="18"/>
      <c r="G42" s="18"/>
      <c r="H42" s="18">
        <v>0</v>
      </c>
      <c r="I42" s="18">
        <v>8</v>
      </c>
      <c r="J42" s="83"/>
      <c r="K42" s="18" t="s">
        <v>60</v>
      </c>
      <c r="L42" s="18" t="s">
        <v>61</v>
      </c>
    </row>
    <row r="43" spans="1:12" s="13" customFormat="1" ht="19.5" customHeight="1">
      <c r="A43" s="18"/>
      <c r="B43" s="18"/>
      <c r="C43" s="67">
        <v>2018</v>
      </c>
      <c r="D43" s="18">
        <f>E43+H43+I43</f>
        <v>0</v>
      </c>
      <c r="E43" s="18">
        <v>0</v>
      </c>
      <c r="F43" s="18"/>
      <c r="G43" s="18"/>
      <c r="H43" s="18">
        <v>0</v>
      </c>
      <c r="I43" s="18">
        <v>0</v>
      </c>
      <c r="J43" s="79"/>
      <c r="K43" s="18"/>
      <c r="L43" s="18"/>
    </row>
    <row r="44" spans="1:12" s="13" customFormat="1" ht="19.5" customHeight="1">
      <c r="A44" s="18"/>
      <c r="B44" s="18"/>
      <c r="C44" s="67">
        <v>2019</v>
      </c>
      <c r="D44" s="18">
        <f>SUM(E44:I44)</f>
        <v>2.8</v>
      </c>
      <c r="E44" s="18">
        <v>0</v>
      </c>
      <c r="F44" s="18"/>
      <c r="G44" s="18"/>
      <c r="H44" s="18">
        <v>0</v>
      </c>
      <c r="I44" s="18">
        <v>2.8</v>
      </c>
      <c r="J44" s="79"/>
      <c r="K44" s="18"/>
      <c r="L44" s="18"/>
    </row>
    <row r="45" spans="1:12" s="13" customFormat="1" ht="19.5" customHeight="1">
      <c r="A45" s="18"/>
      <c r="B45" s="18"/>
      <c r="C45" s="67">
        <v>2020</v>
      </c>
      <c r="D45" s="18">
        <f>I45</f>
        <v>0</v>
      </c>
      <c r="E45" s="18">
        <v>0</v>
      </c>
      <c r="F45" s="18"/>
      <c r="G45" s="18"/>
      <c r="H45" s="18">
        <v>0</v>
      </c>
      <c r="I45" s="18">
        <v>0</v>
      </c>
      <c r="J45" s="79"/>
      <c r="K45" s="18"/>
      <c r="L45" s="18"/>
    </row>
    <row r="46" spans="1:12" s="13" customFormat="1" ht="19.5" customHeight="1">
      <c r="A46" s="18"/>
      <c r="B46" s="18"/>
      <c r="C46" s="67">
        <v>2021</v>
      </c>
      <c r="D46" s="18">
        <f aca="true" t="shared" si="6" ref="D46:D48">E46+F46+I46+J46</f>
        <v>0</v>
      </c>
      <c r="E46" s="18">
        <v>0</v>
      </c>
      <c r="F46" s="18"/>
      <c r="G46" s="18"/>
      <c r="H46" s="18">
        <v>0</v>
      </c>
      <c r="I46" s="18">
        <v>0</v>
      </c>
      <c r="J46" s="79"/>
      <c r="K46" s="18"/>
      <c r="L46" s="18"/>
    </row>
    <row r="47" spans="1:12" s="13" customFormat="1" ht="19.5" customHeight="1">
      <c r="A47" s="18"/>
      <c r="B47" s="18"/>
      <c r="C47" s="67">
        <v>2022</v>
      </c>
      <c r="D47" s="18">
        <f t="shared" si="6"/>
        <v>0</v>
      </c>
      <c r="E47" s="18">
        <v>0</v>
      </c>
      <c r="F47" s="18"/>
      <c r="G47" s="18"/>
      <c r="H47" s="18">
        <v>0</v>
      </c>
      <c r="I47" s="18">
        <v>0</v>
      </c>
      <c r="J47" s="79"/>
      <c r="K47" s="18"/>
      <c r="L47" s="18"/>
    </row>
    <row r="48" spans="1:12" s="13" customFormat="1" ht="19.5" customHeight="1">
      <c r="A48" s="18"/>
      <c r="B48" s="18"/>
      <c r="C48" s="67">
        <v>2023</v>
      </c>
      <c r="D48" s="18">
        <f t="shared" si="6"/>
        <v>0</v>
      </c>
      <c r="E48" s="18">
        <v>0</v>
      </c>
      <c r="F48" s="18"/>
      <c r="G48" s="18"/>
      <c r="H48" s="18">
        <v>0</v>
      </c>
      <c r="I48" s="18">
        <v>0</v>
      </c>
      <c r="J48" s="79"/>
      <c r="K48" s="18"/>
      <c r="L48" s="18"/>
    </row>
    <row r="49" spans="1:12" s="13" customFormat="1" ht="19.5" customHeight="1">
      <c r="A49" s="18"/>
      <c r="B49" s="18"/>
      <c r="C49" s="67">
        <v>2024</v>
      </c>
      <c r="D49" s="18">
        <f aca="true" t="shared" si="7" ref="D49:D57">I49</f>
        <v>0</v>
      </c>
      <c r="E49" s="18">
        <v>0</v>
      </c>
      <c r="F49" s="18"/>
      <c r="G49" s="18"/>
      <c r="H49" s="18">
        <v>0</v>
      </c>
      <c r="I49" s="18">
        <v>0</v>
      </c>
      <c r="J49" s="79"/>
      <c r="K49" s="84"/>
      <c r="L49" s="77"/>
    </row>
    <row r="50" spans="1:12" s="13" customFormat="1" ht="19.5" customHeight="1">
      <c r="A50" s="18" t="s">
        <v>62</v>
      </c>
      <c r="B50" s="18" t="s">
        <v>63</v>
      </c>
      <c r="C50" s="80">
        <v>2017</v>
      </c>
      <c r="D50" s="18">
        <f t="shared" si="7"/>
        <v>115.476</v>
      </c>
      <c r="E50" s="18">
        <v>0</v>
      </c>
      <c r="F50" s="18"/>
      <c r="G50" s="18"/>
      <c r="H50" s="18">
        <v>0</v>
      </c>
      <c r="I50" s="18">
        <v>115.476</v>
      </c>
      <c r="J50" s="79"/>
      <c r="K50" s="18" t="s">
        <v>60</v>
      </c>
      <c r="L50" s="18" t="s">
        <v>64</v>
      </c>
    </row>
    <row r="51" spans="1:12" s="13" customFormat="1" ht="26.25" customHeight="1">
      <c r="A51" s="18"/>
      <c r="B51" s="18"/>
      <c r="C51" s="80"/>
      <c r="D51" s="18">
        <f t="shared" si="7"/>
        <v>165.0305</v>
      </c>
      <c r="E51" s="18">
        <v>0</v>
      </c>
      <c r="F51" s="18"/>
      <c r="G51" s="18"/>
      <c r="H51" s="18">
        <v>0</v>
      </c>
      <c r="I51" s="18">
        <v>165.0305</v>
      </c>
      <c r="J51" s="79"/>
      <c r="K51" s="18" t="s">
        <v>60</v>
      </c>
      <c r="L51" s="18"/>
    </row>
    <row r="52" spans="1:12" s="13" customFormat="1" ht="28.5" customHeight="1">
      <c r="A52" s="18"/>
      <c r="B52" s="18"/>
      <c r="C52" s="80"/>
      <c r="D52" s="18">
        <f t="shared" si="7"/>
        <v>230.5</v>
      </c>
      <c r="E52" s="18">
        <v>0</v>
      </c>
      <c r="F52" s="18"/>
      <c r="G52" s="18"/>
      <c r="H52" s="18">
        <v>0</v>
      </c>
      <c r="I52" s="18">
        <v>230.5</v>
      </c>
      <c r="J52" s="79"/>
      <c r="K52" s="18" t="s">
        <v>60</v>
      </c>
      <c r="L52" s="18"/>
    </row>
    <row r="53" spans="1:12" s="13" customFormat="1" ht="27.75" customHeight="1">
      <c r="A53" s="18"/>
      <c r="B53" s="18"/>
      <c r="C53" s="67">
        <v>2018</v>
      </c>
      <c r="D53" s="18">
        <f t="shared" si="7"/>
        <v>545.1769999999999</v>
      </c>
      <c r="E53" s="18">
        <v>0</v>
      </c>
      <c r="F53" s="18"/>
      <c r="G53" s="18"/>
      <c r="H53" s="18">
        <v>0</v>
      </c>
      <c r="I53" s="18">
        <f>546.776-1.599</f>
        <v>545.1769999999999</v>
      </c>
      <c r="J53" s="83"/>
      <c r="K53" s="85" t="s">
        <v>60</v>
      </c>
      <c r="L53" s="18"/>
    </row>
    <row r="54" spans="1:12" s="13" customFormat="1" ht="19.5" customHeight="1">
      <c r="A54" s="18"/>
      <c r="B54" s="18"/>
      <c r="C54" s="67">
        <v>2019</v>
      </c>
      <c r="D54" s="18">
        <f t="shared" si="7"/>
        <v>257.23976</v>
      </c>
      <c r="E54" s="18">
        <v>0</v>
      </c>
      <c r="F54" s="18"/>
      <c r="G54" s="18"/>
      <c r="H54" s="18">
        <v>0</v>
      </c>
      <c r="I54" s="18">
        <f>257.23976</f>
        <v>257.23976</v>
      </c>
      <c r="J54" s="86"/>
      <c r="K54" s="85" t="s">
        <v>54</v>
      </c>
      <c r="L54" s="18"/>
    </row>
    <row r="55" spans="1:12" s="13" customFormat="1" ht="19.5" customHeight="1">
      <c r="A55" s="18"/>
      <c r="B55" s="18"/>
      <c r="C55" s="67">
        <v>2019</v>
      </c>
      <c r="D55" s="18">
        <f t="shared" si="7"/>
        <v>143.115</v>
      </c>
      <c r="E55" s="18">
        <v>0</v>
      </c>
      <c r="F55" s="18"/>
      <c r="G55" s="18"/>
      <c r="H55" s="18">
        <v>0</v>
      </c>
      <c r="I55" s="18">
        <v>143.115</v>
      </c>
      <c r="J55" s="86"/>
      <c r="K55" s="85" t="s">
        <v>60</v>
      </c>
      <c r="L55" s="18"/>
    </row>
    <row r="56" spans="1:12" s="13" customFormat="1" ht="19.5" customHeight="1">
      <c r="A56" s="18"/>
      <c r="B56" s="18"/>
      <c r="C56" s="67">
        <v>2020</v>
      </c>
      <c r="D56" s="18">
        <f t="shared" si="7"/>
        <v>344.987</v>
      </c>
      <c r="E56" s="18">
        <v>0</v>
      </c>
      <c r="F56" s="18"/>
      <c r="G56" s="18"/>
      <c r="H56" s="18">
        <v>0</v>
      </c>
      <c r="I56" s="18">
        <f>388.187-I57</f>
        <v>344.987</v>
      </c>
      <c r="J56" s="83"/>
      <c r="K56" s="85" t="s">
        <v>54</v>
      </c>
      <c r="L56" s="18"/>
    </row>
    <row r="57" spans="1:12" s="13" customFormat="1" ht="26.25" customHeight="1">
      <c r="A57" s="18"/>
      <c r="B57" s="18"/>
      <c r="C57" s="67"/>
      <c r="D57" s="18">
        <f t="shared" si="7"/>
        <v>43.2</v>
      </c>
      <c r="E57" s="18">
        <v>0</v>
      </c>
      <c r="F57" s="18"/>
      <c r="G57" s="18"/>
      <c r="H57" s="18">
        <v>0</v>
      </c>
      <c r="I57" s="18">
        <v>43.2</v>
      </c>
      <c r="J57" s="83"/>
      <c r="K57" s="87" t="s">
        <v>60</v>
      </c>
      <c r="L57" s="18"/>
    </row>
    <row r="58" spans="1:12" s="13" customFormat="1" ht="19.5" customHeight="1">
      <c r="A58" s="18"/>
      <c r="B58" s="18"/>
      <c r="C58" s="67">
        <v>2021</v>
      </c>
      <c r="D58" s="18">
        <f>E58+F58+I58+J58</f>
        <v>168.28749999999997</v>
      </c>
      <c r="E58" s="18">
        <v>0</v>
      </c>
      <c r="F58" s="18"/>
      <c r="G58" s="18"/>
      <c r="H58" s="18">
        <v>0</v>
      </c>
      <c r="I58" s="18">
        <f>370+103-10-32.021-282.6915+20</f>
        <v>168.28749999999997</v>
      </c>
      <c r="J58" s="83"/>
      <c r="K58" s="18" t="s">
        <v>65</v>
      </c>
      <c r="L58" s="18"/>
    </row>
    <row r="59" spans="1:12" s="13" customFormat="1" ht="19.5" customHeight="1">
      <c r="A59" s="18"/>
      <c r="B59" s="18"/>
      <c r="C59" s="67">
        <v>2021</v>
      </c>
      <c r="D59" s="18">
        <f aca="true" t="shared" si="8" ref="D59:D66">I59</f>
        <v>287.6915</v>
      </c>
      <c r="E59" s="18"/>
      <c r="F59" s="18"/>
      <c r="G59" s="18"/>
      <c r="H59" s="18"/>
      <c r="I59" s="18">
        <f>417.6915-130</f>
        <v>287.6915</v>
      </c>
      <c r="J59" s="83"/>
      <c r="K59" s="18"/>
      <c r="L59" s="18"/>
    </row>
    <row r="60" spans="1:12" s="13" customFormat="1" ht="19.5" customHeight="1">
      <c r="A60" s="18"/>
      <c r="B60" s="18"/>
      <c r="C60" s="67">
        <v>2022</v>
      </c>
      <c r="D60" s="18">
        <f t="shared" si="8"/>
        <v>453</v>
      </c>
      <c r="E60" s="18">
        <v>0</v>
      </c>
      <c r="F60" s="18"/>
      <c r="G60" s="18"/>
      <c r="H60" s="18">
        <v>0</v>
      </c>
      <c r="I60" s="18">
        <v>453</v>
      </c>
      <c r="J60" s="83"/>
      <c r="K60" s="18"/>
      <c r="L60" s="18"/>
    </row>
    <row r="61" spans="1:12" s="13" customFormat="1" ht="19.5" customHeight="1">
      <c r="A61" s="18"/>
      <c r="B61" s="18"/>
      <c r="C61" s="67">
        <v>2023</v>
      </c>
      <c r="D61" s="18">
        <f t="shared" si="8"/>
        <v>200</v>
      </c>
      <c r="E61" s="18">
        <v>0</v>
      </c>
      <c r="F61" s="18"/>
      <c r="G61" s="18"/>
      <c r="H61" s="18">
        <v>0</v>
      </c>
      <c r="I61" s="18">
        <v>200</v>
      </c>
      <c r="J61" s="83"/>
      <c r="K61" s="18"/>
      <c r="L61" s="18"/>
    </row>
    <row r="62" spans="1:12" s="13" customFormat="1" ht="19.5" customHeight="1">
      <c r="A62" s="18"/>
      <c r="B62" s="18"/>
      <c r="C62" s="67">
        <v>2024</v>
      </c>
      <c r="D62" s="18">
        <f t="shared" si="8"/>
        <v>200</v>
      </c>
      <c r="E62" s="18">
        <v>0</v>
      </c>
      <c r="F62" s="18"/>
      <c r="G62" s="18"/>
      <c r="H62" s="18">
        <v>0</v>
      </c>
      <c r="I62" s="18">
        <v>200</v>
      </c>
      <c r="J62" s="83"/>
      <c r="K62" s="84"/>
      <c r="L62" s="77"/>
    </row>
    <row r="63" spans="1:12" s="13" customFormat="1" ht="19.5" customHeight="1">
      <c r="A63" s="18" t="s">
        <v>66</v>
      </c>
      <c r="B63" s="18" t="s">
        <v>67</v>
      </c>
      <c r="C63" s="67">
        <v>2017</v>
      </c>
      <c r="D63" s="18">
        <f t="shared" si="8"/>
        <v>56.559</v>
      </c>
      <c r="E63" s="18">
        <v>0</v>
      </c>
      <c r="F63" s="18"/>
      <c r="G63" s="18"/>
      <c r="H63" s="18">
        <v>0</v>
      </c>
      <c r="I63" s="18">
        <v>56.559</v>
      </c>
      <c r="J63" s="83"/>
      <c r="K63" s="85"/>
      <c r="L63" s="18" t="s">
        <v>68</v>
      </c>
    </row>
    <row r="64" spans="1:12" s="13" customFormat="1" ht="19.5" customHeight="1">
      <c r="A64" s="18"/>
      <c r="B64" s="18"/>
      <c r="C64" s="67"/>
      <c r="D64" s="18">
        <f t="shared" si="8"/>
        <v>35</v>
      </c>
      <c r="E64" s="18">
        <v>0</v>
      </c>
      <c r="F64" s="18"/>
      <c r="G64" s="18"/>
      <c r="H64" s="18">
        <v>0</v>
      </c>
      <c r="I64" s="18">
        <v>35</v>
      </c>
      <c r="J64" s="83"/>
      <c r="K64" s="85"/>
      <c r="L64" s="18"/>
    </row>
    <row r="65" spans="1:12" s="13" customFormat="1" ht="19.5" customHeight="1">
      <c r="A65" s="18"/>
      <c r="B65" s="18"/>
      <c r="C65" s="67"/>
      <c r="D65" s="18">
        <f t="shared" si="8"/>
        <v>250</v>
      </c>
      <c r="E65" s="18">
        <v>0</v>
      </c>
      <c r="F65" s="18"/>
      <c r="G65" s="18"/>
      <c r="H65" s="18">
        <v>0</v>
      </c>
      <c r="I65" s="18">
        <v>250</v>
      </c>
      <c r="J65" s="83"/>
      <c r="K65" s="18" t="s">
        <v>69</v>
      </c>
      <c r="L65" s="18"/>
    </row>
    <row r="66" spans="1:12" s="13" customFormat="1" ht="19.5" customHeight="1">
      <c r="A66" s="18"/>
      <c r="B66" s="18"/>
      <c r="C66" s="67"/>
      <c r="D66" s="18">
        <f t="shared" si="8"/>
        <v>42</v>
      </c>
      <c r="E66" s="18">
        <v>0</v>
      </c>
      <c r="F66" s="18"/>
      <c r="G66" s="18"/>
      <c r="H66" s="18">
        <v>0</v>
      </c>
      <c r="I66" s="18">
        <v>42</v>
      </c>
      <c r="J66" s="83"/>
      <c r="K66" s="18"/>
      <c r="L66" s="18"/>
    </row>
    <row r="67" spans="1:13" s="13" customFormat="1" ht="19.5" customHeight="1">
      <c r="A67" s="18"/>
      <c r="B67" s="18"/>
      <c r="C67" s="67">
        <v>2018</v>
      </c>
      <c r="D67" s="18">
        <f>E67+H67+I67</f>
        <v>277.231</v>
      </c>
      <c r="E67" s="18">
        <v>0</v>
      </c>
      <c r="F67" s="18"/>
      <c r="G67" s="18"/>
      <c r="H67" s="18">
        <v>0</v>
      </c>
      <c r="I67" s="18">
        <v>277.231</v>
      </c>
      <c r="J67" s="83"/>
      <c r="K67" s="18"/>
      <c r="L67" s="18"/>
      <c r="M67" s="13" t="s">
        <v>70</v>
      </c>
    </row>
    <row r="68" spans="1:12" s="13" customFormat="1" ht="19.5" customHeight="1">
      <c r="A68" s="18"/>
      <c r="B68" s="18"/>
      <c r="C68" s="67"/>
      <c r="D68" s="18">
        <f>I68</f>
        <v>45.969</v>
      </c>
      <c r="E68" s="18">
        <v>0</v>
      </c>
      <c r="F68" s="18"/>
      <c r="G68" s="18"/>
      <c r="H68" s="18">
        <v>0</v>
      </c>
      <c r="I68" s="18">
        <v>45.969</v>
      </c>
      <c r="J68" s="83"/>
      <c r="K68" s="18"/>
      <c r="L68" s="18"/>
    </row>
    <row r="69" spans="1:12" s="13" customFormat="1" ht="19.5" customHeight="1">
      <c r="A69" s="18"/>
      <c r="B69" s="18"/>
      <c r="C69" s="67"/>
      <c r="D69" s="18">
        <f>E69+H69+I69</f>
        <v>44.37</v>
      </c>
      <c r="E69" s="18">
        <v>0</v>
      </c>
      <c r="F69" s="18"/>
      <c r="G69" s="18"/>
      <c r="H69" s="18">
        <v>0</v>
      </c>
      <c r="I69" s="18">
        <v>44.37</v>
      </c>
      <c r="J69" s="83"/>
      <c r="K69" s="18"/>
      <c r="L69" s="18"/>
    </row>
    <row r="70" spans="1:12" s="13" customFormat="1" ht="19.5" customHeight="1">
      <c r="A70" s="18"/>
      <c r="B70" s="18"/>
      <c r="C70" s="67">
        <v>2019</v>
      </c>
      <c r="D70" s="18">
        <f>SUM(E70:I70)</f>
        <v>150.46124</v>
      </c>
      <c r="E70" s="18">
        <v>0</v>
      </c>
      <c r="F70" s="18"/>
      <c r="G70" s="18"/>
      <c r="H70" s="18">
        <v>0</v>
      </c>
      <c r="I70" s="18">
        <v>150.46124</v>
      </c>
      <c r="J70" s="83"/>
      <c r="K70" s="18"/>
      <c r="L70" s="18"/>
    </row>
    <row r="71" spans="1:12" s="13" customFormat="1" ht="19.5" customHeight="1">
      <c r="A71" s="18"/>
      <c r="B71" s="18"/>
      <c r="C71" s="67"/>
      <c r="D71" s="18">
        <f>I71</f>
        <v>70</v>
      </c>
      <c r="E71" s="18">
        <v>0</v>
      </c>
      <c r="F71" s="18"/>
      <c r="G71" s="18"/>
      <c r="H71" s="18">
        <v>0</v>
      </c>
      <c r="I71" s="18">
        <v>70</v>
      </c>
      <c r="J71" s="83"/>
      <c r="K71" s="18"/>
      <c r="L71" s="18"/>
    </row>
    <row r="72" spans="1:12" s="13" customFormat="1" ht="19.5" customHeight="1">
      <c r="A72" s="18"/>
      <c r="B72" s="18"/>
      <c r="C72" s="67"/>
      <c r="D72" s="18">
        <f>E72+H72+I72</f>
        <v>49.188</v>
      </c>
      <c r="E72" s="18">
        <v>0</v>
      </c>
      <c r="F72" s="18"/>
      <c r="G72" s="18"/>
      <c r="H72" s="18">
        <v>0</v>
      </c>
      <c r="I72" s="18">
        <v>49.188</v>
      </c>
      <c r="J72" s="83"/>
      <c r="K72" s="18"/>
      <c r="L72" s="18"/>
    </row>
    <row r="73" spans="1:12" s="13" customFormat="1" ht="19.5" customHeight="1">
      <c r="A73" s="18"/>
      <c r="B73" s="18"/>
      <c r="C73" s="67">
        <v>2020</v>
      </c>
      <c r="D73" s="18">
        <f>I73</f>
        <v>150.933</v>
      </c>
      <c r="E73" s="18">
        <v>0</v>
      </c>
      <c r="F73" s="18"/>
      <c r="G73" s="18"/>
      <c r="H73" s="18">
        <v>0</v>
      </c>
      <c r="I73" s="18">
        <v>150.933</v>
      </c>
      <c r="J73" s="83" t="s">
        <v>70</v>
      </c>
      <c r="K73" s="18"/>
      <c r="L73" s="18"/>
    </row>
    <row r="74" spans="1:12" s="13" customFormat="1" ht="19.5" customHeight="1">
      <c r="A74" s="18"/>
      <c r="B74" s="18"/>
      <c r="C74" s="67"/>
      <c r="D74" s="18">
        <f>E74+H74+I74</f>
        <v>213.662</v>
      </c>
      <c r="E74" s="18">
        <v>0</v>
      </c>
      <c r="F74" s="18"/>
      <c r="G74" s="18"/>
      <c r="H74" s="18">
        <v>0</v>
      </c>
      <c r="I74" s="18">
        <v>213.662</v>
      </c>
      <c r="J74" s="83"/>
      <c r="K74" s="18"/>
      <c r="L74" s="18"/>
    </row>
    <row r="75" spans="1:12" s="13" customFormat="1" ht="19.5" customHeight="1">
      <c r="A75" s="18"/>
      <c r="B75" s="18"/>
      <c r="C75" s="67">
        <v>2021</v>
      </c>
      <c r="D75" s="18">
        <f>I75</f>
        <v>300</v>
      </c>
      <c r="E75" s="18">
        <v>0</v>
      </c>
      <c r="F75" s="18"/>
      <c r="G75" s="18"/>
      <c r="H75" s="18">
        <v>0</v>
      </c>
      <c r="I75" s="18">
        <f>200+100</f>
        <v>300</v>
      </c>
      <c r="J75" s="83"/>
      <c r="K75" s="18"/>
      <c r="L75" s="18"/>
    </row>
    <row r="76" spans="1:12" s="13" customFormat="1" ht="19.5" customHeight="1">
      <c r="A76" s="18"/>
      <c r="B76" s="18"/>
      <c r="C76" s="67"/>
      <c r="D76" s="18">
        <f>E76+F76+I76+J76</f>
        <v>60.32</v>
      </c>
      <c r="E76" s="18">
        <v>0</v>
      </c>
      <c r="F76" s="18"/>
      <c r="G76" s="18"/>
      <c r="H76" s="18">
        <v>0</v>
      </c>
      <c r="I76" s="18">
        <v>60.32</v>
      </c>
      <c r="J76" s="83"/>
      <c r="K76" s="18"/>
      <c r="L76" s="18"/>
    </row>
    <row r="77" spans="1:12" s="13" customFormat="1" ht="19.5" customHeight="1">
      <c r="A77" s="18"/>
      <c r="B77" s="18"/>
      <c r="C77" s="88">
        <v>2022</v>
      </c>
      <c r="D77" s="18">
        <f aca="true" t="shared" si="9" ref="D77:D80">I77</f>
        <v>300</v>
      </c>
      <c r="E77" s="18">
        <v>0</v>
      </c>
      <c r="F77" s="18"/>
      <c r="G77" s="18"/>
      <c r="H77" s="18">
        <v>0</v>
      </c>
      <c r="I77" s="18">
        <v>300</v>
      </c>
      <c r="J77" s="83"/>
      <c r="K77" s="18"/>
      <c r="L77" s="18"/>
    </row>
    <row r="78" spans="1:12" s="13" customFormat="1" ht="19.5" customHeight="1">
      <c r="A78" s="18"/>
      <c r="B78" s="18"/>
      <c r="C78" s="88">
        <v>2023</v>
      </c>
      <c r="D78" s="18">
        <f t="shared" si="9"/>
        <v>100</v>
      </c>
      <c r="E78" s="18">
        <v>0</v>
      </c>
      <c r="F78" s="18"/>
      <c r="G78" s="18"/>
      <c r="H78" s="18">
        <v>0</v>
      </c>
      <c r="I78" s="18">
        <v>100</v>
      </c>
      <c r="J78" s="83"/>
      <c r="K78" s="18"/>
      <c r="L78" s="77"/>
    </row>
    <row r="79" spans="1:12" s="13" customFormat="1" ht="19.5" customHeight="1">
      <c r="A79" s="18"/>
      <c r="B79" s="18"/>
      <c r="C79" s="88">
        <v>2024</v>
      </c>
      <c r="D79" s="18">
        <f t="shared" si="9"/>
        <v>100</v>
      </c>
      <c r="E79" s="18">
        <v>0</v>
      </c>
      <c r="F79" s="18"/>
      <c r="G79" s="18"/>
      <c r="H79" s="18">
        <v>0</v>
      </c>
      <c r="I79" s="18">
        <v>100</v>
      </c>
      <c r="J79" s="83"/>
      <c r="K79" s="77"/>
      <c r="L79" s="77"/>
    </row>
    <row r="80" spans="1:12" s="13" customFormat="1" ht="19.5" customHeight="1">
      <c r="A80" s="18" t="s">
        <v>71</v>
      </c>
      <c r="B80" s="18" t="s">
        <v>72</v>
      </c>
      <c r="C80" s="67">
        <v>2017</v>
      </c>
      <c r="D80" s="18">
        <f t="shared" si="9"/>
        <v>10</v>
      </c>
      <c r="E80" s="18">
        <v>0</v>
      </c>
      <c r="F80" s="18"/>
      <c r="G80" s="18"/>
      <c r="H80" s="18">
        <v>0</v>
      </c>
      <c r="I80" s="18">
        <v>10</v>
      </c>
      <c r="J80" s="83"/>
      <c r="K80" s="18" t="s">
        <v>54</v>
      </c>
      <c r="L80" s="18" t="s">
        <v>73</v>
      </c>
    </row>
    <row r="81" spans="1:12" s="13" customFormat="1" ht="19.5" customHeight="1">
      <c r="A81" s="18"/>
      <c r="B81" s="18"/>
      <c r="C81" s="67">
        <v>2018</v>
      </c>
      <c r="D81" s="18">
        <f>E81+H81+I81</f>
        <v>0</v>
      </c>
      <c r="E81" s="18">
        <v>0</v>
      </c>
      <c r="F81" s="18"/>
      <c r="G81" s="18"/>
      <c r="H81" s="18">
        <v>0</v>
      </c>
      <c r="I81" s="18">
        <v>0</v>
      </c>
      <c r="J81" s="83"/>
      <c r="K81" s="18"/>
      <c r="L81" s="18"/>
    </row>
    <row r="82" spans="1:12" s="13" customFormat="1" ht="19.5" customHeight="1">
      <c r="A82" s="18"/>
      <c r="B82" s="18"/>
      <c r="C82" s="67">
        <v>2019</v>
      </c>
      <c r="D82" s="18">
        <f>SUM(E82:I82)</f>
        <v>0</v>
      </c>
      <c r="E82" s="18">
        <v>0</v>
      </c>
      <c r="F82" s="18"/>
      <c r="G82" s="18"/>
      <c r="H82" s="18">
        <v>0</v>
      </c>
      <c r="I82" s="18">
        <v>0</v>
      </c>
      <c r="J82" s="83"/>
      <c r="K82" s="18"/>
      <c r="L82" s="18"/>
    </row>
    <row r="83" spans="1:12" s="13" customFormat="1" ht="19.5" customHeight="1">
      <c r="A83" s="18"/>
      <c r="B83" s="18"/>
      <c r="C83" s="67">
        <v>2020</v>
      </c>
      <c r="D83" s="18">
        <f>I83</f>
        <v>0</v>
      </c>
      <c r="E83" s="18">
        <v>0</v>
      </c>
      <c r="F83" s="18"/>
      <c r="G83" s="18"/>
      <c r="H83" s="18">
        <v>0</v>
      </c>
      <c r="I83" s="18">
        <v>0</v>
      </c>
      <c r="J83" s="83"/>
      <c r="K83" s="18"/>
      <c r="L83" s="18"/>
    </row>
    <row r="84" spans="1:12" s="13" customFormat="1" ht="19.5" customHeight="1">
      <c r="A84" s="18"/>
      <c r="B84" s="18"/>
      <c r="C84" s="67">
        <v>2021</v>
      </c>
      <c r="D84" s="18">
        <f>E84+F84+I84+J84</f>
        <v>0</v>
      </c>
      <c r="E84" s="18">
        <v>0</v>
      </c>
      <c r="F84" s="18"/>
      <c r="G84" s="18"/>
      <c r="H84" s="18">
        <v>0</v>
      </c>
      <c r="I84" s="18">
        <v>0</v>
      </c>
      <c r="J84" s="83"/>
      <c r="K84" s="18"/>
      <c r="L84" s="18"/>
    </row>
    <row r="85" spans="1:12" s="13" customFormat="1" ht="19.5" customHeight="1">
      <c r="A85" s="18"/>
      <c r="B85" s="18"/>
      <c r="C85" s="67">
        <v>2022</v>
      </c>
      <c r="D85" s="18">
        <f aca="true" t="shared" si="10" ref="D85:D88">I85</f>
        <v>0</v>
      </c>
      <c r="E85" s="18">
        <v>0</v>
      </c>
      <c r="F85" s="18"/>
      <c r="G85" s="18"/>
      <c r="H85" s="18">
        <v>0</v>
      </c>
      <c r="I85" s="18">
        <v>0</v>
      </c>
      <c r="J85" s="83"/>
      <c r="K85" s="18"/>
      <c r="L85" s="18"/>
    </row>
    <row r="86" spans="1:12" s="13" customFormat="1" ht="19.5" customHeight="1">
      <c r="A86" s="18"/>
      <c r="B86" s="18"/>
      <c r="C86" s="67">
        <v>2023</v>
      </c>
      <c r="D86" s="18">
        <f t="shared" si="10"/>
        <v>0</v>
      </c>
      <c r="E86" s="18">
        <v>0</v>
      </c>
      <c r="F86" s="18"/>
      <c r="G86" s="18"/>
      <c r="H86" s="18">
        <v>0</v>
      </c>
      <c r="I86" s="18">
        <v>0</v>
      </c>
      <c r="J86" s="83"/>
      <c r="K86" s="18"/>
      <c r="L86" s="18"/>
    </row>
    <row r="87" spans="1:12" s="13" customFormat="1" ht="19.5" customHeight="1">
      <c r="A87" s="18"/>
      <c r="B87" s="18"/>
      <c r="C87" s="67">
        <v>2024</v>
      </c>
      <c r="D87" s="18">
        <f t="shared" si="10"/>
        <v>0</v>
      </c>
      <c r="E87" s="18">
        <v>0</v>
      </c>
      <c r="F87" s="18"/>
      <c r="G87" s="18"/>
      <c r="H87" s="18">
        <v>0</v>
      </c>
      <c r="I87" s="18">
        <v>0</v>
      </c>
      <c r="J87" s="83"/>
      <c r="K87" s="77"/>
      <c r="L87" s="77"/>
    </row>
    <row r="88" spans="1:12" s="13" customFormat="1" ht="19.5" customHeight="1">
      <c r="A88" s="18" t="s">
        <v>74</v>
      </c>
      <c r="B88" s="18" t="s">
        <v>75</v>
      </c>
      <c r="C88" s="67">
        <v>2017</v>
      </c>
      <c r="D88" s="18">
        <f t="shared" si="10"/>
        <v>5</v>
      </c>
      <c r="E88" s="18">
        <v>0</v>
      </c>
      <c r="F88" s="18"/>
      <c r="G88" s="18"/>
      <c r="H88" s="18">
        <v>0</v>
      </c>
      <c r="I88" s="18">
        <v>5</v>
      </c>
      <c r="J88" s="83"/>
      <c r="K88" s="18" t="s">
        <v>54</v>
      </c>
      <c r="L88" s="18" t="s">
        <v>76</v>
      </c>
    </row>
    <row r="89" spans="1:12" s="13" customFormat="1" ht="19.5" customHeight="1">
      <c r="A89" s="18"/>
      <c r="B89" s="18"/>
      <c r="C89" s="67">
        <v>2018</v>
      </c>
      <c r="D89" s="18">
        <f aca="true" t="shared" si="11" ref="D89:D90">SUM(E89:I89)</f>
        <v>0</v>
      </c>
      <c r="E89" s="18">
        <v>0</v>
      </c>
      <c r="F89" s="18"/>
      <c r="G89" s="18"/>
      <c r="H89" s="18">
        <v>0</v>
      </c>
      <c r="I89" s="18">
        <v>0</v>
      </c>
      <c r="J89" s="83"/>
      <c r="K89" s="18"/>
      <c r="L89" s="18"/>
    </row>
    <row r="90" spans="1:12" s="13" customFormat="1" ht="19.5" customHeight="1">
      <c r="A90" s="18"/>
      <c r="B90" s="18"/>
      <c r="C90" s="67">
        <v>2019</v>
      </c>
      <c r="D90" s="18">
        <f t="shared" si="11"/>
        <v>0</v>
      </c>
      <c r="E90" s="18">
        <v>0</v>
      </c>
      <c r="F90" s="18"/>
      <c r="G90" s="18"/>
      <c r="H90" s="18">
        <v>0</v>
      </c>
      <c r="I90" s="18">
        <v>0</v>
      </c>
      <c r="J90" s="83"/>
      <c r="K90" s="18"/>
      <c r="L90" s="18"/>
    </row>
    <row r="91" spans="1:12" s="13" customFormat="1" ht="19.5" customHeight="1">
      <c r="A91" s="18"/>
      <c r="B91" s="18"/>
      <c r="C91" s="67">
        <v>2020</v>
      </c>
      <c r="D91" s="18">
        <f aca="true" t="shared" si="12" ref="D91:D96">I91</f>
        <v>0</v>
      </c>
      <c r="E91" s="18">
        <v>0</v>
      </c>
      <c r="F91" s="18"/>
      <c r="G91" s="18"/>
      <c r="H91" s="18">
        <v>0</v>
      </c>
      <c r="I91" s="18">
        <v>0</v>
      </c>
      <c r="J91" s="83"/>
      <c r="K91" s="18"/>
      <c r="L91" s="18"/>
    </row>
    <row r="92" spans="1:12" s="13" customFormat="1" ht="19.5" customHeight="1">
      <c r="A92" s="18"/>
      <c r="B92" s="18"/>
      <c r="C92" s="67">
        <v>2021</v>
      </c>
      <c r="D92" s="18">
        <f t="shared" si="12"/>
        <v>0</v>
      </c>
      <c r="E92" s="18">
        <v>0</v>
      </c>
      <c r="F92" s="18"/>
      <c r="G92" s="18"/>
      <c r="H92" s="18">
        <v>0</v>
      </c>
      <c r="I92" s="18">
        <v>0</v>
      </c>
      <c r="J92" s="83"/>
      <c r="K92" s="18"/>
      <c r="L92" s="18"/>
    </row>
    <row r="93" spans="1:12" s="13" customFormat="1" ht="19.5" customHeight="1">
      <c r="A93" s="18"/>
      <c r="B93" s="18"/>
      <c r="C93" s="67">
        <v>2022</v>
      </c>
      <c r="D93" s="18">
        <f t="shared" si="12"/>
        <v>0</v>
      </c>
      <c r="E93" s="18">
        <v>0</v>
      </c>
      <c r="F93" s="18"/>
      <c r="G93" s="18"/>
      <c r="H93" s="18">
        <v>0</v>
      </c>
      <c r="I93" s="18">
        <v>0</v>
      </c>
      <c r="J93" s="83"/>
      <c r="K93" s="18"/>
      <c r="L93" s="18"/>
    </row>
    <row r="94" spans="1:12" s="13" customFormat="1" ht="19.5" customHeight="1">
      <c r="A94" s="18"/>
      <c r="B94" s="18"/>
      <c r="C94" s="67">
        <v>2023</v>
      </c>
      <c r="D94" s="18">
        <f t="shared" si="12"/>
        <v>0</v>
      </c>
      <c r="E94" s="18">
        <v>0</v>
      </c>
      <c r="F94" s="18"/>
      <c r="G94" s="18"/>
      <c r="H94" s="18">
        <v>0</v>
      </c>
      <c r="I94" s="18">
        <v>0</v>
      </c>
      <c r="J94" s="83"/>
      <c r="K94" s="18"/>
      <c r="L94" s="18"/>
    </row>
    <row r="95" spans="1:12" s="13" customFormat="1" ht="19.5" customHeight="1">
      <c r="A95" s="18"/>
      <c r="B95" s="18"/>
      <c r="C95" s="67">
        <v>2024</v>
      </c>
      <c r="D95" s="18">
        <f t="shared" si="12"/>
        <v>0</v>
      </c>
      <c r="E95" s="18">
        <v>0</v>
      </c>
      <c r="F95" s="18"/>
      <c r="G95" s="18"/>
      <c r="H95" s="18">
        <v>0</v>
      </c>
      <c r="I95" s="18">
        <v>0</v>
      </c>
      <c r="J95" s="83"/>
      <c r="K95" s="77"/>
      <c r="L95" s="77"/>
    </row>
    <row r="96" spans="1:12" s="13" customFormat="1" ht="19.5" customHeight="1">
      <c r="A96" s="18" t="s">
        <v>77</v>
      </c>
      <c r="B96" s="18" t="s">
        <v>78</v>
      </c>
      <c r="C96" s="67">
        <v>2017</v>
      </c>
      <c r="D96" s="18">
        <f t="shared" si="12"/>
        <v>5</v>
      </c>
      <c r="E96" s="18">
        <v>0</v>
      </c>
      <c r="F96" s="18"/>
      <c r="G96" s="18"/>
      <c r="H96" s="18">
        <v>0</v>
      </c>
      <c r="I96" s="18">
        <v>5</v>
      </c>
      <c r="J96" s="83"/>
      <c r="K96" s="18" t="s">
        <v>54</v>
      </c>
      <c r="L96" s="18" t="s">
        <v>79</v>
      </c>
    </row>
    <row r="97" spans="1:12" s="13" customFormat="1" ht="19.5" customHeight="1">
      <c r="A97" s="18"/>
      <c r="B97" s="18"/>
      <c r="C97" s="67">
        <v>2018</v>
      </c>
      <c r="D97" s="18">
        <f aca="true" t="shared" si="13" ref="D97:D98">SUM(E97:I97)</f>
        <v>0</v>
      </c>
      <c r="E97" s="18">
        <v>0</v>
      </c>
      <c r="F97" s="18"/>
      <c r="G97" s="18"/>
      <c r="H97" s="18">
        <v>0</v>
      </c>
      <c r="I97" s="18">
        <v>0</v>
      </c>
      <c r="J97" s="83"/>
      <c r="K97" s="18"/>
      <c r="L97" s="18"/>
    </row>
    <row r="98" spans="1:12" s="13" customFormat="1" ht="19.5" customHeight="1">
      <c r="A98" s="18"/>
      <c r="B98" s="18"/>
      <c r="C98" s="67">
        <v>2019</v>
      </c>
      <c r="D98" s="18">
        <f t="shared" si="13"/>
        <v>0</v>
      </c>
      <c r="E98" s="18">
        <v>0</v>
      </c>
      <c r="F98" s="18"/>
      <c r="G98" s="18"/>
      <c r="H98" s="18">
        <v>0</v>
      </c>
      <c r="I98" s="18">
        <v>0</v>
      </c>
      <c r="J98" s="83"/>
      <c r="K98" s="18"/>
      <c r="L98" s="18"/>
    </row>
    <row r="99" spans="1:12" s="13" customFormat="1" ht="19.5" customHeight="1">
      <c r="A99" s="18"/>
      <c r="B99" s="18"/>
      <c r="C99" s="67">
        <v>2020</v>
      </c>
      <c r="D99" s="18">
        <f aca="true" t="shared" si="14" ref="D99:D104">I99</f>
        <v>0</v>
      </c>
      <c r="E99" s="18">
        <v>0</v>
      </c>
      <c r="F99" s="18"/>
      <c r="G99" s="18"/>
      <c r="H99" s="18">
        <v>0</v>
      </c>
      <c r="I99" s="18">
        <v>0</v>
      </c>
      <c r="J99" s="83"/>
      <c r="K99" s="18"/>
      <c r="L99" s="18"/>
    </row>
    <row r="100" spans="1:12" s="13" customFormat="1" ht="19.5" customHeight="1">
      <c r="A100" s="18"/>
      <c r="B100" s="18"/>
      <c r="C100" s="67">
        <v>2021</v>
      </c>
      <c r="D100" s="18">
        <f t="shared" si="14"/>
        <v>0</v>
      </c>
      <c r="E100" s="18">
        <v>0</v>
      </c>
      <c r="F100" s="18"/>
      <c r="G100" s="18"/>
      <c r="H100" s="18">
        <v>0</v>
      </c>
      <c r="I100" s="18">
        <v>0</v>
      </c>
      <c r="J100" s="83"/>
      <c r="K100" s="18"/>
      <c r="L100" s="18"/>
    </row>
    <row r="101" spans="1:12" s="13" customFormat="1" ht="19.5" customHeight="1">
      <c r="A101" s="18"/>
      <c r="B101" s="18"/>
      <c r="C101" s="67">
        <v>2022</v>
      </c>
      <c r="D101" s="18">
        <f t="shared" si="14"/>
        <v>0</v>
      </c>
      <c r="E101" s="18">
        <v>0</v>
      </c>
      <c r="F101" s="18"/>
      <c r="G101" s="18"/>
      <c r="H101" s="18">
        <v>0</v>
      </c>
      <c r="I101" s="18">
        <v>0</v>
      </c>
      <c r="J101" s="83"/>
      <c r="K101" s="18"/>
      <c r="L101" s="18"/>
    </row>
    <row r="102" spans="1:12" s="13" customFormat="1" ht="19.5" customHeight="1">
      <c r="A102" s="18"/>
      <c r="B102" s="18"/>
      <c r="C102" s="67">
        <v>2023</v>
      </c>
      <c r="D102" s="18">
        <f t="shared" si="14"/>
        <v>0</v>
      </c>
      <c r="E102" s="18">
        <v>0</v>
      </c>
      <c r="F102" s="18"/>
      <c r="G102" s="18"/>
      <c r="H102" s="18">
        <v>0</v>
      </c>
      <c r="I102" s="18">
        <v>0</v>
      </c>
      <c r="J102" s="83"/>
      <c r="K102" s="18"/>
      <c r="L102" s="18"/>
    </row>
    <row r="103" spans="1:12" s="13" customFormat="1" ht="19.5" customHeight="1">
      <c r="A103" s="18"/>
      <c r="B103" s="18"/>
      <c r="C103" s="67">
        <v>2024</v>
      </c>
      <c r="D103" s="18">
        <f t="shared" si="14"/>
        <v>0</v>
      </c>
      <c r="E103" s="18">
        <v>0</v>
      </c>
      <c r="F103" s="18"/>
      <c r="G103" s="18"/>
      <c r="H103" s="18">
        <v>0</v>
      </c>
      <c r="I103" s="18">
        <v>0</v>
      </c>
      <c r="J103" s="83"/>
      <c r="K103" s="77"/>
      <c r="L103" s="77"/>
    </row>
    <row r="104" spans="1:12" s="13" customFormat="1" ht="19.5" customHeight="1">
      <c r="A104" s="18" t="s">
        <v>80</v>
      </c>
      <c r="B104" s="18" t="s">
        <v>81</v>
      </c>
      <c r="C104" s="67">
        <v>2017</v>
      </c>
      <c r="D104" s="18">
        <f t="shared" si="14"/>
        <v>80</v>
      </c>
      <c r="E104" s="18">
        <v>0</v>
      </c>
      <c r="F104" s="18"/>
      <c r="G104" s="18"/>
      <c r="H104" s="18">
        <v>0</v>
      </c>
      <c r="I104" s="18">
        <v>80</v>
      </c>
      <c r="J104" s="83"/>
      <c r="K104" s="18" t="s">
        <v>54</v>
      </c>
      <c r="L104" s="18" t="s">
        <v>82</v>
      </c>
    </row>
    <row r="105" spans="1:12" s="13" customFormat="1" ht="19.5" customHeight="1">
      <c r="A105" s="18"/>
      <c r="B105" s="18"/>
      <c r="C105" s="67">
        <v>2018</v>
      </c>
      <c r="D105" s="18">
        <f>E105+H105+I105</f>
        <v>0</v>
      </c>
      <c r="E105" s="18">
        <v>0</v>
      </c>
      <c r="F105" s="18"/>
      <c r="G105" s="18"/>
      <c r="H105" s="89">
        <v>0</v>
      </c>
      <c r="I105" s="18">
        <v>0</v>
      </c>
      <c r="J105" s="83"/>
      <c r="K105" s="18"/>
      <c r="L105" s="18"/>
    </row>
    <row r="106" spans="1:12" s="13" customFormat="1" ht="19.5" customHeight="1">
      <c r="A106" s="18"/>
      <c r="B106" s="18"/>
      <c r="C106" s="67">
        <v>2019</v>
      </c>
      <c r="D106" s="18">
        <f aca="true" t="shared" si="15" ref="D106:D107">SUM(E106:I106)</f>
        <v>0</v>
      </c>
      <c r="E106" s="18">
        <v>0</v>
      </c>
      <c r="F106" s="18"/>
      <c r="G106" s="18"/>
      <c r="H106" s="89">
        <v>0</v>
      </c>
      <c r="I106" s="18">
        <v>0</v>
      </c>
      <c r="J106" s="83" t="s">
        <v>70</v>
      </c>
      <c r="K106" s="18"/>
      <c r="L106" s="18"/>
    </row>
    <row r="107" spans="1:12" s="13" customFormat="1" ht="19.5" customHeight="1">
      <c r="A107" s="18"/>
      <c r="B107" s="18"/>
      <c r="C107" s="67">
        <v>2020</v>
      </c>
      <c r="D107" s="18">
        <f t="shared" si="15"/>
        <v>12.2</v>
      </c>
      <c r="E107" s="18">
        <v>0</v>
      </c>
      <c r="F107" s="18"/>
      <c r="G107" s="18"/>
      <c r="H107" s="89">
        <v>0</v>
      </c>
      <c r="I107" s="18">
        <v>12.2</v>
      </c>
      <c r="J107" s="83"/>
      <c r="K107" s="18"/>
      <c r="L107" s="18"/>
    </row>
    <row r="108" spans="1:12" s="13" customFormat="1" ht="19.5" customHeight="1">
      <c r="A108" s="18"/>
      <c r="B108" s="18"/>
      <c r="C108" s="67">
        <v>2021</v>
      </c>
      <c r="D108" s="18">
        <f aca="true" t="shared" si="16" ref="D108:D111">I108</f>
        <v>20</v>
      </c>
      <c r="E108" s="18">
        <v>0</v>
      </c>
      <c r="F108" s="18"/>
      <c r="G108" s="18"/>
      <c r="H108" s="89">
        <v>0</v>
      </c>
      <c r="I108" s="18">
        <f>5+15</f>
        <v>20</v>
      </c>
      <c r="J108" s="83"/>
      <c r="K108" s="18"/>
      <c r="L108" s="18"/>
    </row>
    <row r="109" spans="1:12" s="13" customFormat="1" ht="19.5" customHeight="1">
      <c r="A109" s="18"/>
      <c r="B109" s="18"/>
      <c r="C109" s="67">
        <v>2022</v>
      </c>
      <c r="D109" s="18">
        <f t="shared" si="16"/>
        <v>50</v>
      </c>
      <c r="E109" s="18">
        <v>0</v>
      </c>
      <c r="F109" s="18"/>
      <c r="G109" s="18"/>
      <c r="H109" s="89">
        <v>0</v>
      </c>
      <c r="I109" s="18">
        <v>50</v>
      </c>
      <c r="J109" s="83"/>
      <c r="K109" s="18"/>
      <c r="L109" s="18"/>
    </row>
    <row r="110" spans="1:12" s="13" customFormat="1" ht="19.5" customHeight="1">
      <c r="A110" s="18"/>
      <c r="B110" s="18"/>
      <c r="C110" s="67">
        <v>2023</v>
      </c>
      <c r="D110" s="18">
        <f t="shared" si="16"/>
        <v>50</v>
      </c>
      <c r="E110" s="18">
        <v>0</v>
      </c>
      <c r="F110" s="18"/>
      <c r="G110" s="18"/>
      <c r="H110" s="89">
        <v>0</v>
      </c>
      <c r="I110" s="18">
        <v>50</v>
      </c>
      <c r="J110" s="83"/>
      <c r="K110" s="18"/>
      <c r="L110" s="18"/>
    </row>
    <row r="111" spans="1:12" s="13" customFormat="1" ht="19.5" customHeight="1">
      <c r="A111" s="18"/>
      <c r="B111" s="18"/>
      <c r="C111" s="67">
        <v>2024</v>
      </c>
      <c r="D111" s="18">
        <f t="shared" si="16"/>
        <v>50</v>
      </c>
      <c r="E111" s="18">
        <v>0</v>
      </c>
      <c r="F111" s="18"/>
      <c r="G111" s="18"/>
      <c r="H111" s="89">
        <v>0</v>
      </c>
      <c r="I111" s="18">
        <v>50</v>
      </c>
      <c r="J111" s="83"/>
      <c r="K111" s="77"/>
      <c r="L111" s="77"/>
    </row>
    <row r="112" spans="1:12" s="13" customFormat="1" ht="19.5" customHeight="1">
      <c r="A112" s="18" t="s">
        <v>83</v>
      </c>
      <c r="B112" s="18" t="s">
        <v>84</v>
      </c>
      <c r="C112" s="67">
        <v>2017</v>
      </c>
      <c r="D112" s="18">
        <f>SUM(E112:I112)</f>
        <v>500</v>
      </c>
      <c r="E112" s="18">
        <v>0</v>
      </c>
      <c r="F112" s="18"/>
      <c r="G112" s="18"/>
      <c r="H112" s="89">
        <v>0</v>
      </c>
      <c r="I112" s="18">
        <v>500</v>
      </c>
      <c r="J112" s="83"/>
      <c r="K112" s="18" t="s">
        <v>85</v>
      </c>
      <c r="L112" s="18" t="s">
        <v>86</v>
      </c>
    </row>
    <row r="113" spans="1:12" s="13" customFormat="1" ht="19.5" customHeight="1">
      <c r="A113" s="18"/>
      <c r="B113" s="18"/>
      <c r="C113" s="67">
        <v>2017</v>
      </c>
      <c r="D113" s="18">
        <f aca="true" t="shared" si="17" ref="D113:D114">I113</f>
        <v>374.024</v>
      </c>
      <c r="E113" s="18">
        <v>0</v>
      </c>
      <c r="F113" s="18"/>
      <c r="G113" s="18"/>
      <c r="H113" s="89">
        <v>0</v>
      </c>
      <c r="I113" s="18">
        <v>374.024</v>
      </c>
      <c r="J113" s="83"/>
      <c r="K113" s="18"/>
      <c r="L113" s="18"/>
    </row>
    <row r="114" spans="1:12" s="13" customFormat="1" ht="19.5" customHeight="1">
      <c r="A114" s="18"/>
      <c r="B114" s="18"/>
      <c r="C114" s="67">
        <v>2017</v>
      </c>
      <c r="D114" s="18">
        <f t="shared" si="17"/>
        <v>234.9695</v>
      </c>
      <c r="E114" s="18">
        <v>0</v>
      </c>
      <c r="F114" s="18"/>
      <c r="G114" s="18"/>
      <c r="H114" s="89">
        <v>0</v>
      </c>
      <c r="I114" s="18">
        <v>234.9695</v>
      </c>
      <c r="J114" s="83"/>
      <c r="K114" s="18"/>
      <c r="L114" s="18"/>
    </row>
    <row r="115" spans="1:12" s="13" customFormat="1" ht="19.5" customHeight="1">
      <c r="A115" s="18"/>
      <c r="B115" s="18"/>
      <c r="C115" s="67">
        <v>2018</v>
      </c>
      <c r="D115" s="18">
        <f>SUM(E115:I115)</f>
        <v>359</v>
      </c>
      <c r="E115" s="18">
        <v>0</v>
      </c>
      <c r="F115" s="18"/>
      <c r="G115" s="18"/>
      <c r="H115" s="89">
        <v>0</v>
      </c>
      <c r="I115" s="18">
        <f>50+309</f>
        <v>359</v>
      </c>
      <c r="J115" s="83"/>
      <c r="K115" s="18"/>
      <c r="L115" s="18"/>
    </row>
    <row r="116" spans="1:12" s="13" customFormat="1" ht="19.5" customHeight="1">
      <c r="A116" s="18"/>
      <c r="B116" s="18"/>
      <c r="C116" s="67">
        <v>2019</v>
      </c>
      <c r="D116" s="18">
        <f>I116</f>
        <v>378.499</v>
      </c>
      <c r="E116" s="18">
        <v>0</v>
      </c>
      <c r="F116" s="18"/>
      <c r="G116" s="18"/>
      <c r="H116" s="89">
        <v>0</v>
      </c>
      <c r="I116" s="18">
        <v>378.499</v>
      </c>
      <c r="J116" s="83"/>
      <c r="K116" s="18"/>
      <c r="L116" s="18"/>
    </row>
    <row r="117" spans="1:12" s="13" customFormat="1" ht="19.5" customHeight="1">
      <c r="A117" s="18"/>
      <c r="B117" s="18"/>
      <c r="C117" s="67">
        <v>2020</v>
      </c>
      <c r="D117" s="18">
        <f>SUM(E117:I117)</f>
        <v>5</v>
      </c>
      <c r="E117" s="18">
        <v>0</v>
      </c>
      <c r="F117" s="18"/>
      <c r="G117" s="18"/>
      <c r="H117" s="89">
        <v>0</v>
      </c>
      <c r="I117" s="18">
        <v>5</v>
      </c>
      <c r="J117" s="83"/>
      <c r="K117" s="18"/>
      <c r="L117" s="18"/>
    </row>
    <row r="118" spans="1:12" s="13" customFormat="1" ht="19.5" customHeight="1">
      <c r="A118" s="18"/>
      <c r="B118" s="18"/>
      <c r="C118" s="67">
        <v>2021</v>
      </c>
      <c r="D118" s="18">
        <f aca="true" t="shared" si="18" ref="D118:D120">I118</f>
        <v>0</v>
      </c>
      <c r="E118" s="18">
        <v>0</v>
      </c>
      <c r="F118" s="18"/>
      <c r="G118" s="18"/>
      <c r="H118" s="89">
        <v>0</v>
      </c>
      <c r="I118" s="18">
        <v>0</v>
      </c>
      <c r="J118" s="83"/>
      <c r="K118" s="18"/>
      <c r="L118" s="18"/>
    </row>
    <row r="119" spans="1:12" s="13" customFormat="1" ht="19.5" customHeight="1">
      <c r="A119" s="18"/>
      <c r="B119" s="18"/>
      <c r="C119" s="67">
        <v>2022</v>
      </c>
      <c r="D119" s="18">
        <f t="shared" si="18"/>
        <v>500</v>
      </c>
      <c r="E119" s="18">
        <v>0</v>
      </c>
      <c r="F119" s="18"/>
      <c r="G119" s="18"/>
      <c r="H119" s="89">
        <v>0</v>
      </c>
      <c r="I119" s="18">
        <v>500</v>
      </c>
      <c r="J119" s="83"/>
      <c r="K119" s="18"/>
      <c r="L119" s="18"/>
    </row>
    <row r="120" spans="1:12" s="13" customFormat="1" ht="19.5" customHeight="1">
      <c r="A120" s="18"/>
      <c r="B120" s="18"/>
      <c r="C120" s="67">
        <v>2023</v>
      </c>
      <c r="D120" s="18">
        <f t="shared" si="18"/>
        <v>0</v>
      </c>
      <c r="E120" s="18">
        <v>0</v>
      </c>
      <c r="F120" s="18"/>
      <c r="G120" s="18"/>
      <c r="H120" s="89">
        <v>0</v>
      </c>
      <c r="I120" s="18">
        <v>0</v>
      </c>
      <c r="J120" s="83"/>
      <c r="K120" s="18"/>
      <c r="L120" s="18"/>
    </row>
    <row r="121" spans="1:12" s="13" customFormat="1" ht="19.5" customHeight="1">
      <c r="A121" s="18"/>
      <c r="B121" s="18"/>
      <c r="C121" s="67">
        <v>2024</v>
      </c>
      <c r="D121" s="18">
        <v>0</v>
      </c>
      <c r="E121" s="18">
        <v>0</v>
      </c>
      <c r="F121" s="18"/>
      <c r="G121" s="18"/>
      <c r="H121" s="89">
        <v>0</v>
      </c>
      <c r="I121" s="18">
        <v>0</v>
      </c>
      <c r="J121" s="83"/>
      <c r="K121" s="77"/>
      <c r="L121" s="77"/>
    </row>
    <row r="122" spans="1:12" s="13" customFormat="1" ht="19.5" customHeight="1">
      <c r="A122" s="18" t="s">
        <v>87</v>
      </c>
      <c r="B122" s="18" t="s">
        <v>88</v>
      </c>
      <c r="C122" s="67">
        <v>2017</v>
      </c>
      <c r="D122" s="18">
        <f>I122</f>
        <v>65.8528</v>
      </c>
      <c r="E122" s="18">
        <v>0</v>
      </c>
      <c r="F122" s="18"/>
      <c r="G122" s="18"/>
      <c r="H122" s="89">
        <v>0</v>
      </c>
      <c r="I122" s="18">
        <v>65.8528</v>
      </c>
      <c r="J122" s="83"/>
      <c r="K122" s="18" t="s">
        <v>54</v>
      </c>
      <c r="L122" s="18" t="s">
        <v>89</v>
      </c>
    </row>
    <row r="123" spans="1:12" s="13" customFormat="1" ht="19.5" customHeight="1">
      <c r="A123" s="18"/>
      <c r="B123" s="18"/>
      <c r="C123" s="67">
        <v>2018</v>
      </c>
      <c r="D123" s="18">
        <f aca="true" t="shared" si="19" ref="D123:D124">SUM(E123:I123)</f>
        <v>60</v>
      </c>
      <c r="E123" s="18">
        <v>0</v>
      </c>
      <c r="F123" s="18"/>
      <c r="G123" s="18"/>
      <c r="H123" s="89">
        <v>0</v>
      </c>
      <c r="I123" s="18">
        <v>60</v>
      </c>
      <c r="J123" s="83"/>
      <c r="K123" s="18"/>
      <c r="L123" s="18"/>
    </row>
    <row r="124" spans="1:12" s="13" customFormat="1" ht="19.5" customHeight="1">
      <c r="A124" s="18"/>
      <c r="B124" s="18"/>
      <c r="C124" s="67">
        <v>2019</v>
      </c>
      <c r="D124" s="18">
        <f t="shared" si="19"/>
        <v>60</v>
      </c>
      <c r="E124" s="18">
        <v>0</v>
      </c>
      <c r="F124" s="18"/>
      <c r="G124" s="18"/>
      <c r="H124" s="89">
        <v>0</v>
      </c>
      <c r="I124" s="18">
        <v>60</v>
      </c>
      <c r="J124" s="83"/>
      <c r="K124" s="18"/>
      <c r="L124" s="18"/>
    </row>
    <row r="125" spans="1:12" s="13" customFormat="1" ht="19.5" customHeight="1">
      <c r="A125" s="18"/>
      <c r="B125" s="18"/>
      <c r="C125" s="67">
        <v>2020</v>
      </c>
      <c r="D125" s="18">
        <f aca="true" t="shared" si="20" ref="D125:D141">I125</f>
        <v>113.39208</v>
      </c>
      <c r="E125" s="18">
        <v>0</v>
      </c>
      <c r="F125" s="18"/>
      <c r="G125" s="18"/>
      <c r="H125" s="89">
        <v>0</v>
      </c>
      <c r="I125" s="18">
        <v>113.39208</v>
      </c>
      <c r="J125" s="83"/>
      <c r="K125" s="18"/>
      <c r="L125" s="18"/>
    </row>
    <row r="126" spans="1:12" s="13" customFormat="1" ht="19.5" customHeight="1">
      <c r="A126" s="18"/>
      <c r="B126" s="18"/>
      <c r="C126" s="67">
        <v>2021</v>
      </c>
      <c r="D126" s="18">
        <f t="shared" si="20"/>
        <v>130</v>
      </c>
      <c r="E126" s="18">
        <v>0</v>
      </c>
      <c r="F126" s="18"/>
      <c r="G126" s="18"/>
      <c r="H126" s="89">
        <v>0</v>
      </c>
      <c r="I126" s="18">
        <f>60+70</f>
        <v>130</v>
      </c>
      <c r="J126" s="83"/>
      <c r="K126" s="18"/>
      <c r="L126" s="18"/>
    </row>
    <row r="127" spans="1:12" s="13" customFormat="1" ht="19.5" customHeight="1">
      <c r="A127" s="18"/>
      <c r="B127" s="18"/>
      <c r="C127" s="67">
        <v>2022</v>
      </c>
      <c r="D127" s="18">
        <f t="shared" si="20"/>
        <v>130</v>
      </c>
      <c r="E127" s="18">
        <v>0</v>
      </c>
      <c r="F127" s="18"/>
      <c r="G127" s="18"/>
      <c r="H127" s="89">
        <v>0</v>
      </c>
      <c r="I127" s="18">
        <v>130</v>
      </c>
      <c r="J127" s="83"/>
      <c r="K127" s="18"/>
      <c r="L127" s="18"/>
    </row>
    <row r="128" spans="1:12" s="13" customFormat="1" ht="19.5" customHeight="1">
      <c r="A128" s="18"/>
      <c r="B128" s="18"/>
      <c r="C128" s="67">
        <v>2023</v>
      </c>
      <c r="D128" s="18">
        <f t="shared" si="20"/>
        <v>60</v>
      </c>
      <c r="E128" s="18">
        <v>0</v>
      </c>
      <c r="F128" s="18"/>
      <c r="G128" s="18"/>
      <c r="H128" s="89">
        <v>0</v>
      </c>
      <c r="I128" s="18">
        <v>60</v>
      </c>
      <c r="J128" s="83"/>
      <c r="K128" s="18"/>
      <c r="L128" s="18"/>
    </row>
    <row r="129" spans="1:12" s="13" customFormat="1" ht="19.5" customHeight="1">
      <c r="A129" s="18"/>
      <c r="B129" s="18"/>
      <c r="C129" s="67">
        <v>2024</v>
      </c>
      <c r="D129" s="18">
        <f t="shared" si="20"/>
        <v>60</v>
      </c>
      <c r="E129" s="18">
        <v>0</v>
      </c>
      <c r="F129" s="18"/>
      <c r="G129" s="18"/>
      <c r="H129" s="89">
        <v>0</v>
      </c>
      <c r="I129" s="18">
        <v>60</v>
      </c>
      <c r="J129" s="83"/>
      <c r="K129" s="77"/>
      <c r="L129" s="18"/>
    </row>
    <row r="130" spans="1:12" s="13" customFormat="1" ht="19.5" customHeight="1">
      <c r="A130" s="18" t="s">
        <v>90</v>
      </c>
      <c r="B130" s="85" t="s">
        <v>91</v>
      </c>
      <c r="C130" s="67">
        <v>2017</v>
      </c>
      <c r="D130" s="18">
        <f t="shared" si="20"/>
        <v>100</v>
      </c>
      <c r="E130" s="18">
        <v>0</v>
      </c>
      <c r="F130" s="18"/>
      <c r="G130" s="18"/>
      <c r="H130" s="89">
        <v>0</v>
      </c>
      <c r="I130" s="18">
        <v>100</v>
      </c>
      <c r="J130" s="83"/>
      <c r="K130" s="18" t="s">
        <v>54</v>
      </c>
      <c r="L130" s="18"/>
    </row>
    <row r="131" spans="1:12" s="13" customFormat="1" ht="19.5" customHeight="1">
      <c r="A131" s="18"/>
      <c r="B131" s="85"/>
      <c r="C131" s="67"/>
      <c r="D131" s="18">
        <f t="shared" si="20"/>
        <v>35</v>
      </c>
      <c r="E131" s="18">
        <v>0</v>
      </c>
      <c r="F131" s="18"/>
      <c r="G131" s="18"/>
      <c r="H131" s="89">
        <v>0</v>
      </c>
      <c r="I131" s="18">
        <v>35</v>
      </c>
      <c r="J131" s="83"/>
      <c r="K131" s="18"/>
      <c r="L131" s="18"/>
    </row>
    <row r="132" spans="1:12" s="13" customFormat="1" ht="19.5" customHeight="1">
      <c r="A132" s="18"/>
      <c r="B132" s="85"/>
      <c r="C132" s="67">
        <v>2018</v>
      </c>
      <c r="D132" s="18">
        <f t="shared" si="20"/>
        <v>0</v>
      </c>
      <c r="E132" s="18">
        <v>0</v>
      </c>
      <c r="F132" s="18"/>
      <c r="G132" s="18"/>
      <c r="H132" s="89">
        <v>0</v>
      </c>
      <c r="I132" s="18">
        <v>0</v>
      </c>
      <c r="J132" s="83"/>
      <c r="K132" s="18"/>
      <c r="L132" s="18"/>
    </row>
    <row r="133" spans="1:12" s="13" customFormat="1" ht="19.5" customHeight="1">
      <c r="A133" s="18"/>
      <c r="B133" s="85"/>
      <c r="C133" s="67">
        <v>2019</v>
      </c>
      <c r="D133" s="18">
        <f t="shared" si="20"/>
        <v>0</v>
      </c>
      <c r="E133" s="18">
        <v>0</v>
      </c>
      <c r="F133" s="18"/>
      <c r="G133" s="18"/>
      <c r="H133" s="89">
        <v>0</v>
      </c>
      <c r="I133" s="18">
        <v>0</v>
      </c>
      <c r="J133" s="83"/>
      <c r="K133" s="18"/>
      <c r="L133" s="18"/>
    </row>
    <row r="134" spans="1:12" s="13" customFormat="1" ht="19.5" customHeight="1">
      <c r="A134" s="18"/>
      <c r="B134" s="85"/>
      <c r="C134" s="67">
        <v>2020</v>
      </c>
      <c r="D134" s="18">
        <f t="shared" si="20"/>
        <v>0</v>
      </c>
      <c r="E134" s="18">
        <v>0</v>
      </c>
      <c r="F134" s="18"/>
      <c r="G134" s="18"/>
      <c r="H134" s="89">
        <v>0</v>
      </c>
      <c r="I134" s="18">
        <v>0</v>
      </c>
      <c r="J134" s="83"/>
      <c r="K134" s="18"/>
      <c r="L134" s="18"/>
    </row>
    <row r="135" spans="1:12" s="13" customFormat="1" ht="19.5" customHeight="1">
      <c r="A135" s="18"/>
      <c r="B135" s="85"/>
      <c r="C135" s="67">
        <v>2021</v>
      </c>
      <c r="D135" s="18">
        <f t="shared" si="20"/>
        <v>0</v>
      </c>
      <c r="E135" s="18">
        <f>I135</f>
        <v>0</v>
      </c>
      <c r="F135" s="18"/>
      <c r="G135" s="18"/>
      <c r="H135" s="89">
        <v>0</v>
      </c>
      <c r="I135" s="18">
        <v>0</v>
      </c>
      <c r="J135" s="83"/>
      <c r="K135" s="18"/>
      <c r="L135" s="18"/>
    </row>
    <row r="136" spans="1:12" s="13" customFormat="1" ht="19.5" customHeight="1">
      <c r="A136" s="18"/>
      <c r="B136" s="85"/>
      <c r="C136" s="67">
        <v>2022</v>
      </c>
      <c r="D136" s="18">
        <f t="shared" si="20"/>
        <v>0</v>
      </c>
      <c r="E136" s="18">
        <v>0</v>
      </c>
      <c r="F136" s="18"/>
      <c r="G136" s="18"/>
      <c r="H136" s="89">
        <v>0</v>
      </c>
      <c r="I136" s="18">
        <v>0</v>
      </c>
      <c r="J136" s="83"/>
      <c r="K136" s="18"/>
      <c r="L136" s="18"/>
    </row>
    <row r="137" spans="1:12" s="13" customFormat="1" ht="19.5" customHeight="1">
      <c r="A137" s="18"/>
      <c r="B137" s="85"/>
      <c r="C137" s="67">
        <v>2023</v>
      </c>
      <c r="D137" s="18">
        <f t="shared" si="20"/>
        <v>0</v>
      </c>
      <c r="E137" s="18">
        <f>I137</f>
        <v>0</v>
      </c>
      <c r="F137" s="18"/>
      <c r="G137" s="18"/>
      <c r="H137" s="89">
        <v>0</v>
      </c>
      <c r="I137" s="18">
        <v>0</v>
      </c>
      <c r="J137" s="83"/>
      <c r="K137" s="18"/>
      <c r="L137" s="18"/>
    </row>
    <row r="138" spans="1:12" s="13" customFormat="1" ht="19.5" customHeight="1">
      <c r="A138" s="18" t="s">
        <v>92</v>
      </c>
      <c r="B138" s="85" t="s">
        <v>93</v>
      </c>
      <c r="C138" s="67">
        <v>2017</v>
      </c>
      <c r="D138" s="18">
        <f t="shared" si="20"/>
        <v>0</v>
      </c>
      <c r="E138" s="18">
        <v>0</v>
      </c>
      <c r="F138" s="18"/>
      <c r="G138" s="18"/>
      <c r="H138" s="89">
        <v>0</v>
      </c>
      <c r="I138" s="18">
        <v>0</v>
      </c>
      <c r="J138" s="83"/>
      <c r="K138" s="18"/>
      <c r="L138" s="18"/>
    </row>
    <row r="139" spans="1:12" s="13" customFormat="1" ht="19.5" customHeight="1">
      <c r="A139" s="18"/>
      <c r="B139" s="85"/>
      <c r="C139" s="67">
        <v>2018</v>
      </c>
      <c r="D139" s="18">
        <f t="shared" si="20"/>
        <v>39.66</v>
      </c>
      <c r="E139" s="18">
        <f>I139</f>
        <v>39.66</v>
      </c>
      <c r="F139" s="18"/>
      <c r="G139" s="18"/>
      <c r="H139" s="89">
        <v>0</v>
      </c>
      <c r="I139" s="18">
        <v>39.66</v>
      </c>
      <c r="J139" s="83"/>
      <c r="K139" s="79" t="s">
        <v>54</v>
      </c>
      <c r="L139" s="18"/>
    </row>
    <row r="140" spans="1:12" s="13" customFormat="1" ht="19.5" customHeight="1">
      <c r="A140" s="18"/>
      <c r="B140" s="85"/>
      <c r="C140" s="67">
        <v>2019</v>
      </c>
      <c r="D140" s="18">
        <f t="shared" si="20"/>
        <v>0</v>
      </c>
      <c r="E140" s="18">
        <v>0</v>
      </c>
      <c r="F140" s="18"/>
      <c r="G140" s="18"/>
      <c r="H140" s="89">
        <v>0</v>
      </c>
      <c r="I140" s="18">
        <v>0</v>
      </c>
      <c r="J140" s="83"/>
      <c r="K140" s="79"/>
      <c r="L140" s="18"/>
    </row>
    <row r="141" spans="1:12" s="13" customFormat="1" ht="19.5" customHeight="1">
      <c r="A141" s="18"/>
      <c r="B141" s="85"/>
      <c r="C141" s="67">
        <v>2020</v>
      </c>
      <c r="D141" s="18">
        <f t="shared" si="20"/>
        <v>0</v>
      </c>
      <c r="E141" s="18">
        <f>I141</f>
        <v>0</v>
      </c>
      <c r="F141" s="18"/>
      <c r="G141" s="18"/>
      <c r="H141" s="89">
        <v>0</v>
      </c>
      <c r="I141" s="18">
        <v>0</v>
      </c>
      <c r="J141" s="83"/>
      <c r="K141" s="79"/>
      <c r="L141" s="18"/>
    </row>
    <row r="142" spans="1:12" s="13" customFormat="1" ht="19.5" customHeight="1">
      <c r="A142" s="18"/>
      <c r="B142" s="85"/>
      <c r="C142" s="67">
        <v>2021</v>
      </c>
      <c r="D142" s="18">
        <v>0</v>
      </c>
      <c r="E142" s="18">
        <v>0</v>
      </c>
      <c r="F142" s="18"/>
      <c r="G142" s="18"/>
      <c r="H142" s="89">
        <v>0</v>
      </c>
      <c r="I142" s="18">
        <v>0</v>
      </c>
      <c r="J142" s="83"/>
      <c r="K142" s="79"/>
      <c r="L142" s="18"/>
    </row>
    <row r="143" spans="1:12" s="13" customFormat="1" ht="19.5" customHeight="1">
      <c r="A143" s="18"/>
      <c r="B143" s="85"/>
      <c r="C143" s="67">
        <v>2022</v>
      </c>
      <c r="D143" s="18">
        <f aca="true" t="shared" si="21" ref="D143:D144">I143</f>
        <v>0</v>
      </c>
      <c r="E143" s="18">
        <f>I143</f>
        <v>0</v>
      </c>
      <c r="F143" s="18"/>
      <c r="G143" s="18"/>
      <c r="H143" s="89">
        <v>0</v>
      </c>
      <c r="I143" s="18">
        <v>0</v>
      </c>
      <c r="J143" s="83"/>
      <c r="K143" s="79"/>
      <c r="L143" s="84"/>
    </row>
    <row r="144" spans="1:12" s="13" customFormat="1" ht="19.5" customHeight="1">
      <c r="A144" s="18"/>
      <c r="B144" s="85"/>
      <c r="C144" s="67">
        <v>2023</v>
      </c>
      <c r="D144" s="67">
        <f t="shared" si="21"/>
        <v>0</v>
      </c>
      <c r="E144" s="18">
        <v>0</v>
      </c>
      <c r="F144" s="18"/>
      <c r="G144" s="18"/>
      <c r="H144" s="89">
        <v>0</v>
      </c>
      <c r="I144" s="67">
        <v>0</v>
      </c>
      <c r="J144" s="83"/>
      <c r="K144" s="79"/>
      <c r="L144" s="84"/>
    </row>
    <row r="145" spans="1:12" s="13" customFormat="1" ht="19.5" customHeight="1">
      <c r="A145" s="18" t="s">
        <v>94</v>
      </c>
      <c r="B145" s="85" t="s">
        <v>95</v>
      </c>
      <c r="C145" s="67">
        <v>2017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83"/>
      <c r="K145" s="79"/>
      <c r="L145" s="84"/>
    </row>
    <row r="146" spans="1:12" s="13" customFormat="1" ht="19.5" customHeight="1">
      <c r="A146" s="18"/>
      <c r="B146" s="85"/>
      <c r="C146" s="67">
        <v>2018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83"/>
      <c r="K146" s="79"/>
      <c r="L146" s="84"/>
    </row>
    <row r="147" spans="1:12" s="13" customFormat="1" ht="19.5" customHeight="1">
      <c r="A147" s="18"/>
      <c r="B147" s="85"/>
      <c r="C147" s="67">
        <v>2019</v>
      </c>
      <c r="D147" s="90">
        <f>H147+I147</f>
        <v>27.739</v>
      </c>
      <c r="E147" s="90">
        <v>0</v>
      </c>
      <c r="F147" s="90">
        <v>0</v>
      </c>
      <c r="G147" s="90">
        <v>0</v>
      </c>
      <c r="H147" s="90">
        <v>0</v>
      </c>
      <c r="I147" s="90">
        <v>27.739</v>
      </c>
      <c r="J147" s="83"/>
      <c r="K147" s="79"/>
      <c r="L147" s="84"/>
    </row>
    <row r="148" spans="1:12" s="13" customFormat="1" ht="19.5" customHeight="1">
      <c r="A148" s="18"/>
      <c r="B148" s="85"/>
      <c r="C148" s="67">
        <v>2020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  <c r="I148" s="90">
        <v>0</v>
      </c>
      <c r="J148" s="83"/>
      <c r="K148" s="79"/>
      <c r="L148" s="84"/>
    </row>
    <row r="149" spans="1:12" s="13" customFormat="1" ht="19.5" customHeight="1">
      <c r="A149" s="18"/>
      <c r="B149" s="85"/>
      <c r="C149" s="67">
        <v>2021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  <c r="I149" s="90">
        <v>0</v>
      </c>
      <c r="J149" s="83"/>
      <c r="K149" s="79"/>
      <c r="L149" s="84"/>
    </row>
    <row r="150" spans="1:12" s="13" customFormat="1" ht="19.5" customHeight="1">
      <c r="A150" s="18"/>
      <c r="B150" s="85"/>
      <c r="C150" s="67">
        <v>2022</v>
      </c>
      <c r="D150" s="90">
        <f>I150</f>
        <v>0</v>
      </c>
      <c r="E150" s="90"/>
      <c r="F150" s="90"/>
      <c r="G150" s="90"/>
      <c r="H150" s="90"/>
      <c r="I150" s="90">
        <v>0</v>
      </c>
      <c r="J150" s="83"/>
      <c r="K150" s="79"/>
      <c r="L150" s="84"/>
    </row>
    <row r="151" spans="1:12" s="13" customFormat="1" ht="19.5" customHeight="1">
      <c r="A151" s="18"/>
      <c r="B151" s="85"/>
      <c r="C151" s="67">
        <v>2023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  <c r="I151" s="90">
        <v>0</v>
      </c>
      <c r="J151" s="83"/>
      <c r="K151" s="79"/>
      <c r="L151" s="84"/>
    </row>
    <row r="152" spans="1:12" s="13" customFormat="1" ht="19.5" customHeight="1">
      <c r="A152" s="18" t="s">
        <v>96</v>
      </c>
      <c r="B152" s="85" t="s">
        <v>97</v>
      </c>
      <c r="C152" s="67">
        <v>2017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  <c r="I152" s="90">
        <v>0</v>
      </c>
      <c r="J152" s="83"/>
      <c r="K152" s="18" t="s">
        <v>54</v>
      </c>
      <c r="L152" s="84"/>
    </row>
    <row r="153" spans="1:12" s="13" customFormat="1" ht="19.5" customHeight="1">
      <c r="A153" s="18"/>
      <c r="B153" s="85"/>
      <c r="C153" s="67">
        <v>2018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83"/>
      <c r="K153" s="18"/>
      <c r="L153" s="84"/>
    </row>
    <row r="154" spans="1:12" s="13" customFormat="1" ht="19.5" customHeight="1">
      <c r="A154" s="18"/>
      <c r="B154" s="85"/>
      <c r="C154" s="67">
        <v>2019</v>
      </c>
      <c r="D154" s="90">
        <v>0</v>
      </c>
      <c r="E154" s="90">
        <v>0</v>
      </c>
      <c r="F154" s="90">
        <v>0</v>
      </c>
      <c r="G154" s="90">
        <v>0</v>
      </c>
      <c r="H154" s="90">
        <v>0</v>
      </c>
      <c r="I154" s="90">
        <v>0</v>
      </c>
      <c r="J154" s="83"/>
      <c r="K154" s="18"/>
      <c r="L154" s="84"/>
    </row>
    <row r="155" spans="1:12" s="13" customFormat="1" ht="19.5" customHeight="1">
      <c r="A155" s="18"/>
      <c r="B155" s="85"/>
      <c r="C155" s="80">
        <v>2020</v>
      </c>
      <c r="D155" s="90">
        <f aca="true" t="shared" si="22" ref="D155:D157">I155</f>
        <v>0</v>
      </c>
      <c r="E155" s="90">
        <v>0</v>
      </c>
      <c r="F155" s="90">
        <v>0</v>
      </c>
      <c r="G155" s="90">
        <v>0</v>
      </c>
      <c r="H155" s="90">
        <v>0</v>
      </c>
      <c r="I155" s="90">
        <f aca="true" t="shared" si="23" ref="I155:I156">200-200</f>
        <v>0</v>
      </c>
      <c r="J155" s="83"/>
      <c r="K155" s="18"/>
      <c r="L155" s="84"/>
    </row>
    <row r="156" spans="1:12" s="13" customFormat="1" ht="19.5" customHeight="1">
      <c r="A156" s="18"/>
      <c r="B156" s="85"/>
      <c r="C156" s="80"/>
      <c r="D156" s="90">
        <f t="shared" si="22"/>
        <v>0</v>
      </c>
      <c r="E156" s="90">
        <v>0</v>
      </c>
      <c r="F156" s="90">
        <v>0</v>
      </c>
      <c r="G156" s="90">
        <v>0</v>
      </c>
      <c r="H156" s="90">
        <v>0</v>
      </c>
      <c r="I156" s="90">
        <f t="shared" si="23"/>
        <v>0</v>
      </c>
      <c r="J156" s="83"/>
      <c r="K156" s="18"/>
      <c r="L156" s="84"/>
    </row>
    <row r="157" spans="1:12" s="13" customFormat="1" ht="19.5" customHeight="1">
      <c r="A157" s="18"/>
      <c r="B157" s="85"/>
      <c r="C157" s="80"/>
      <c r="D157" s="90">
        <f t="shared" si="22"/>
        <v>0</v>
      </c>
      <c r="E157" s="90">
        <v>0</v>
      </c>
      <c r="F157" s="90">
        <v>0</v>
      </c>
      <c r="G157" s="90">
        <v>0</v>
      </c>
      <c r="H157" s="90">
        <v>0</v>
      </c>
      <c r="I157" s="90">
        <f>100-100</f>
        <v>0</v>
      </c>
      <c r="J157" s="83"/>
      <c r="K157" s="18"/>
      <c r="L157" s="84"/>
    </row>
    <row r="158" spans="1:12" s="13" customFormat="1" ht="19.5" customHeight="1">
      <c r="A158" s="18"/>
      <c r="B158" s="85"/>
      <c r="C158" s="67">
        <v>2021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  <c r="I158" s="90">
        <v>0</v>
      </c>
      <c r="J158" s="83"/>
      <c r="K158" s="18"/>
      <c r="L158" s="84"/>
    </row>
    <row r="159" spans="1:12" s="13" customFormat="1" ht="19.5" customHeight="1">
      <c r="A159" s="18"/>
      <c r="B159" s="85"/>
      <c r="C159" s="67">
        <v>2022</v>
      </c>
      <c r="D159" s="90">
        <f>I159</f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83"/>
      <c r="K159" s="18"/>
      <c r="L159" s="84"/>
    </row>
    <row r="160" spans="1:12" s="13" customFormat="1" ht="19.5" customHeight="1">
      <c r="A160" s="18"/>
      <c r="B160" s="85"/>
      <c r="C160" s="67">
        <v>2023</v>
      </c>
      <c r="D160" s="90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83"/>
      <c r="K160" s="18"/>
      <c r="L160" s="84"/>
    </row>
    <row r="161" spans="1:12" s="13" customFormat="1" ht="19.5" customHeight="1">
      <c r="A161" s="91"/>
      <c r="B161" s="92" t="s">
        <v>98</v>
      </c>
      <c r="C161" s="67">
        <v>2021</v>
      </c>
      <c r="D161" s="90">
        <f>F161+I161</f>
        <v>65.05</v>
      </c>
      <c r="E161" s="90"/>
      <c r="F161" s="90">
        <f aca="true" t="shared" si="24" ref="F161:F164">G161+H161</f>
        <v>61.8</v>
      </c>
      <c r="G161" s="90">
        <v>61.8</v>
      </c>
      <c r="H161" s="90">
        <v>0</v>
      </c>
      <c r="I161" s="90">
        <f>65.05-61.8</f>
        <v>3.25</v>
      </c>
      <c r="J161" s="83"/>
      <c r="K161" s="84"/>
      <c r="L161" s="84"/>
    </row>
    <row r="162" spans="1:12" s="13" customFormat="1" ht="24" customHeight="1">
      <c r="A162" s="91"/>
      <c r="B162" s="92"/>
      <c r="C162" s="67">
        <v>2022</v>
      </c>
      <c r="D162" s="90">
        <f>I162+H162+F162</f>
        <v>71.84</v>
      </c>
      <c r="E162" s="90"/>
      <c r="F162" s="90">
        <f t="shared" si="24"/>
        <v>62.5</v>
      </c>
      <c r="G162" s="90">
        <v>62.5</v>
      </c>
      <c r="H162" s="90">
        <v>0</v>
      </c>
      <c r="I162" s="90">
        <v>9.34</v>
      </c>
      <c r="J162" s="83"/>
      <c r="K162" s="84"/>
      <c r="L162" s="84"/>
    </row>
    <row r="163" spans="1:12" s="13" customFormat="1" ht="24" customHeight="1">
      <c r="A163" s="91"/>
      <c r="B163" s="92"/>
      <c r="C163" s="67">
        <v>2023</v>
      </c>
      <c r="D163" s="90">
        <f aca="true" t="shared" si="25" ref="D163:D164">F163+I163</f>
        <v>71.84</v>
      </c>
      <c r="E163" s="90"/>
      <c r="F163" s="90">
        <f t="shared" si="24"/>
        <v>62.5</v>
      </c>
      <c r="G163" s="90">
        <v>62.5</v>
      </c>
      <c r="H163" s="90">
        <v>0</v>
      </c>
      <c r="I163" s="90">
        <v>9.34</v>
      </c>
      <c r="J163" s="83"/>
      <c r="K163" s="84"/>
      <c r="L163" s="84"/>
    </row>
    <row r="164" spans="1:12" s="13" customFormat="1" ht="24.75" customHeight="1">
      <c r="A164" s="91"/>
      <c r="B164" s="92"/>
      <c r="C164" s="93">
        <v>2024</v>
      </c>
      <c r="D164" s="90">
        <f t="shared" si="25"/>
        <v>71.84</v>
      </c>
      <c r="E164" s="90"/>
      <c r="F164" s="90">
        <f t="shared" si="24"/>
        <v>62.5</v>
      </c>
      <c r="G164" s="90">
        <v>62.5</v>
      </c>
      <c r="H164" s="90">
        <v>0</v>
      </c>
      <c r="I164" s="90">
        <v>9.34</v>
      </c>
      <c r="J164" s="83"/>
      <c r="K164" s="84"/>
      <c r="L164" s="84"/>
    </row>
    <row r="165" spans="1:12" s="13" customFormat="1" ht="19.5" customHeight="1">
      <c r="A165" s="94"/>
      <c r="B165" s="95" t="s">
        <v>99</v>
      </c>
      <c r="C165" s="96">
        <v>2017</v>
      </c>
      <c r="D165" s="97">
        <f aca="true" t="shared" si="26" ref="D165:D168">I165</f>
        <v>2414.4018</v>
      </c>
      <c r="E165" s="97">
        <v>0</v>
      </c>
      <c r="F165" s="97"/>
      <c r="G165" s="97"/>
      <c r="H165" s="97">
        <v>0</v>
      </c>
      <c r="I165" s="97">
        <f>I131+I130+I122+I114+I113+I112+I104+I96+I88+I80+I66+I65+I64+I63+I52+I51+I50+I34+I25+I17+I42</f>
        <v>2414.4018</v>
      </c>
      <c r="J165" s="83"/>
      <c r="K165" s="85"/>
      <c r="L165" s="98"/>
    </row>
    <row r="166" spans="1:12" s="13" customFormat="1" ht="19.5" customHeight="1">
      <c r="A166" s="94"/>
      <c r="B166" s="95"/>
      <c r="C166" s="96">
        <v>2018</v>
      </c>
      <c r="D166" s="97">
        <f t="shared" si="26"/>
        <v>1441.4070000000002</v>
      </c>
      <c r="E166" s="97">
        <f>E18+E26+E35+E43+E53+E67+E69+E81+E89+E97+E105+E112+E113+E114+E123</f>
        <v>0</v>
      </c>
      <c r="F166" s="97"/>
      <c r="G166" s="97"/>
      <c r="H166" s="97">
        <f>H18+H26+H35+H43+H53+H67+H69+H81+H89+H97+H105+H112+H113+H114+H123</f>
        <v>0</v>
      </c>
      <c r="I166" s="97">
        <f>I132+I123+I115+I105+I97+I89+I81+I69+I53+I43+I35+I26+I18+I67+I68+I139</f>
        <v>1441.4070000000002</v>
      </c>
      <c r="J166" s="83"/>
      <c r="K166" s="85"/>
      <c r="L166" s="98"/>
    </row>
    <row r="167" spans="1:12" s="13" customFormat="1" ht="19.5" customHeight="1">
      <c r="A167" s="94"/>
      <c r="B167" s="95"/>
      <c r="C167" s="96">
        <v>2019</v>
      </c>
      <c r="D167" s="97">
        <f t="shared" si="26"/>
        <v>1211.5683599999998</v>
      </c>
      <c r="E167" s="97">
        <f>E19+E27+E36+E44+E54+E70+E82+E90+E98+E106+E115+E124</f>
        <v>0</v>
      </c>
      <c r="F167" s="97"/>
      <c r="G167" s="97"/>
      <c r="H167" s="97">
        <f>H19+H27+H36+H44+H54+H70+H82+H90+H98+H106+H115+H124</f>
        <v>0</v>
      </c>
      <c r="I167" s="97">
        <f>I140+++I133+I124+I116+I106+I98+I90+I82+I70+I72+I54+I44+I36+I27+I19+I55+I147+I71</f>
        <v>1211.5683599999998</v>
      </c>
      <c r="J167" s="83"/>
      <c r="K167" s="85"/>
      <c r="L167" s="98"/>
    </row>
    <row r="168" spans="1:12" s="13" customFormat="1" ht="19.5" customHeight="1">
      <c r="A168" s="94"/>
      <c r="B168" s="95"/>
      <c r="C168" s="96">
        <v>2020</v>
      </c>
      <c r="D168" s="97">
        <f t="shared" si="26"/>
        <v>900.06708</v>
      </c>
      <c r="E168" s="97">
        <f>E20+E28+E37+E45+E56+E73+E83+E91+E99+E107+E117+E134</f>
        <v>0</v>
      </c>
      <c r="F168" s="97"/>
      <c r="G168" s="97"/>
      <c r="H168" s="97">
        <f>H20+H28+H37+H45+H56+H73+H83+H91+H99+H107+H117+H134</f>
        <v>0</v>
      </c>
      <c r="I168" s="97">
        <f>I141+I1+I157+I12790+I125+I117+I107+I99+I91+I83+I74+I56+I45+I37+I28+I20+I73+I156+I155+I57</f>
        <v>900.06708</v>
      </c>
      <c r="J168" s="83"/>
      <c r="K168" s="85"/>
      <c r="L168" s="98"/>
    </row>
    <row r="169" spans="1:12" s="13" customFormat="1" ht="19.5" customHeight="1">
      <c r="A169" s="94"/>
      <c r="B169" s="95"/>
      <c r="C169" s="96">
        <v>2021</v>
      </c>
      <c r="D169" s="97">
        <f aca="true" t="shared" si="27" ref="D169:D172">F169+I169</f>
        <v>1091.348</v>
      </c>
      <c r="E169" s="97">
        <v>0</v>
      </c>
      <c r="F169" s="97">
        <f aca="true" t="shared" si="28" ref="F169:F172">F161</f>
        <v>61.8</v>
      </c>
      <c r="G169" s="97">
        <f aca="true" t="shared" si="29" ref="G169:G172">G161</f>
        <v>61.8</v>
      </c>
      <c r="H169" s="97">
        <f aca="true" t="shared" si="30" ref="H169:H172">H161</f>
        <v>0</v>
      </c>
      <c r="I169" s="97">
        <f>I142+I135+I126+I118+I108+I100+I92+I84+I76+I75+I58+I46+I38+I30+I21+I59+I161</f>
        <v>1029.548</v>
      </c>
      <c r="J169" s="83"/>
      <c r="K169" s="85"/>
      <c r="L169" s="98"/>
    </row>
    <row r="170" spans="1:12" s="13" customFormat="1" ht="19.5" customHeight="1">
      <c r="A170" s="94"/>
      <c r="B170" s="95"/>
      <c r="C170" s="96">
        <v>2022</v>
      </c>
      <c r="D170" s="97">
        <f t="shared" si="27"/>
        <v>1514.84</v>
      </c>
      <c r="E170" s="97">
        <v>0</v>
      </c>
      <c r="F170" s="97">
        <f t="shared" si="28"/>
        <v>62.5</v>
      </c>
      <c r="G170" s="97">
        <f t="shared" si="29"/>
        <v>62.5</v>
      </c>
      <c r="H170" s="97">
        <f t="shared" si="30"/>
        <v>0</v>
      </c>
      <c r="I170" s="97">
        <f>I22+I39+I47+I60+I77+I85+I93+I101+I109+I119+I127+I31+I162</f>
        <v>1452.34</v>
      </c>
      <c r="J170" s="99"/>
      <c r="K170" s="85"/>
      <c r="L170" s="98"/>
    </row>
    <row r="171" spans="1:12" s="13" customFormat="1" ht="19.5" customHeight="1">
      <c r="A171" s="94"/>
      <c r="B171" s="95"/>
      <c r="C171" s="100">
        <v>2023</v>
      </c>
      <c r="D171" s="97">
        <f t="shared" si="27"/>
        <v>481.84</v>
      </c>
      <c r="E171" s="97">
        <v>0</v>
      </c>
      <c r="F171" s="97">
        <f t="shared" si="28"/>
        <v>62.5</v>
      </c>
      <c r="G171" s="97">
        <f t="shared" si="29"/>
        <v>62.5</v>
      </c>
      <c r="H171" s="97">
        <f t="shared" si="30"/>
        <v>0</v>
      </c>
      <c r="I171" s="97">
        <f aca="true" t="shared" si="31" ref="I171:I172">I128+I120+I110+I102+I94+I86+I78+I61+I48+I40+I32+I23+I163</f>
        <v>419.34</v>
      </c>
      <c r="J171" s="101"/>
      <c r="K171" s="92"/>
      <c r="L171" s="102"/>
    </row>
    <row r="172" spans="1:12" s="13" customFormat="1" ht="19.5" customHeight="1">
      <c r="A172" s="94"/>
      <c r="B172" s="95"/>
      <c r="C172" s="100">
        <v>2024</v>
      </c>
      <c r="D172" s="97">
        <f t="shared" si="27"/>
        <v>481.84</v>
      </c>
      <c r="E172" s="97">
        <v>0</v>
      </c>
      <c r="F172" s="97">
        <f t="shared" si="28"/>
        <v>62.5</v>
      </c>
      <c r="G172" s="97">
        <f t="shared" si="29"/>
        <v>62.5</v>
      </c>
      <c r="H172" s="97">
        <f t="shared" si="30"/>
        <v>0</v>
      </c>
      <c r="I172" s="97">
        <f t="shared" si="31"/>
        <v>419.34</v>
      </c>
      <c r="J172" s="101"/>
      <c r="K172" s="92"/>
      <c r="L172" s="102"/>
    </row>
    <row r="173" spans="1:12" s="13" customFormat="1" ht="19.5" customHeight="1">
      <c r="A173" s="97" t="s">
        <v>100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1:12" s="13" customFormat="1" ht="19.5" customHeight="1">
      <c r="A174" s="103" t="s">
        <v>49</v>
      </c>
      <c r="B174" s="103" t="s">
        <v>101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1:12" s="13" customFormat="1" ht="19.5" customHeight="1">
      <c r="A175" s="103" t="s">
        <v>51</v>
      </c>
      <c r="B175" s="103" t="s">
        <v>102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1:12" s="13" customFormat="1" ht="19.5" customHeight="1">
      <c r="A176" s="79"/>
      <c r="B176" s="79" t="s">
        <v>103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104" t="s">
        <v>104</v>
      </c>
    </row>
    <row r="177" spans="1:12" s="13" customFormat="1" ht="19.5" customHeight="1">
      <c r="A177" s="18" t="s">
        <v>105</v>
      </c>
      <c r="B177" s="85" t="s">
        <v>106</v>
      </c>
      <c r="C177" s="80">
        <v>2017</v>
      </c>
      <c r="D177" s="81">
        <f aca="true" t="shared" si="32" ref="D177:D180">I177</f>
        <v>787.715</v>
      </c>
      <c r="E177" s="81">
        <v>0</v>
      </c>
      <c r="F177" s="81"/>
      <c r="G177" s="81"/>
      <c r="H177" s="81">
        <v>0</v>
      </c>
      <c r="I177" s="81">
        <v>787.715</v>
      </c>
      <c r="J177" s="79"/>
      <c r="K177" s="79" t="s">
        <v>107</v>
      </c>
      <c r="L177" s="104"/>
    </row>
    <row r="178" spans="1:12" s="13" customFormat="1" ht="19.5" customHeight="1">
      <c r="A178" s="18"/>
      <c r="B178" s="85"/>
      <c r="C178" s="80"/>
      <c r="D178" s="105">
        <f t="shared" si="32"/>
        <v>33.923</v>
      </c>
      <c r="E178" s="105">
        <v>0</v>
      </c>
      <c r="F178" s="105"/>
      <c r="G178" s="105"/>
      <c r="H178" s="105">
        <v>0</v>
      </c>
      <c r="I178" s="105">
        <v>33.923</v>
      </c>
      <c r="J178" s="79"/>
      <c r="K178" s="79" t="s">
        <v>108</v>
      </c>
      <c r="L178" s="104"/>
    </row>
    <row r="179" spans="1:12" s="13" customFormat="1" ht="19.5" customHeight="1">
      <c r="A179" s="18"/>
      <c r="B179" s="85"/>
      <c r="C179" s="80">
        <v>2018</v>
      </c>
      <c r="D179" s="105">
        <f t="shared" si="32"/>
        <v>0</v>
      </c>
      <c r="E179" s="105">
        <v>0</v>
      </c>
      <c r="F179" s="105"/>
      <c r="G179" s="105"/>
      <c r="H179" s="105">
        <v>0</v>
      </c>
      <c r="I179" s="105">
        <v>0</v>
      </c>
      <c r="J179" s="79"/>
      <c r="K179" s="79"/>
      <c r="L179" s="104"/>
    </row>
    <row r="180" spans="1:12" s="13" customFormat="1" ht="19.5" customHeight="1">
      <c r="A180" s="18"/>
      <c r="B180" s="85"/>
      <c r="C180" s="106">
        <v>2019</v>
      </c>
      <c r="D180" s="107">
        <f t="shared" si="32"/>
        <v>0</v>
      </c>
      <c r="E180" s="107">
        <v>0</v>
      </c>
      <c r="F180" s="107"/>
      <c r="G180" s="107"/>
      <c r="H180" s="107">
        <v>0</v>
      </c>
      <c r="I180" s="107">
        <v>0</v>
      </c>
      <c r="J180" s="108"/>
      <c r="K180" s="79"/>
      <c r="L180" s="104"/>
    </row>
    <row r="181" spans="1:12" s="13" customFormat="1" ht="19.5" customHeight="1">
      <c r="A181" s="18"/>
      <c r="B181" s="85"/>
      <c r="C181" s="80">
        <v>2020</v>
      </c>
      <c r="D181" s="105">
        <f>J181</f>
        <v>0</v>
      </c>
      <c r="E181" s="105">
        <v>0</v>
      </c>
      <c r="F181" s="105"/>
      <c r="G181" s="105"/>
      <c r="H181" s="109">
        <v>0</v>
      </c>
      <c r="I181" s="109">
        <v>0</v>
      </c>
      <c r="J181" s="83"/>
      <c r="K181" s="85"/>
      <c r="L181" s="104"/>
    </row>
    <row r="182" spans="1:12" s="13" customFormat="1" ht="19.5" customHeight="1">
      <c r="A182" s="18"/>
      <c r="B182" s="85"/>
      <c r="C182" s="80">
        <v>2021</v>
      </c>
      <c r="D182" s="105">
        <v>0</v>
      </c>
      <c r="E182" s="105">
        <v>0</v>
      </c>
      <c r="F182" s="105"/>
      <c r="G182" s="105"/>
      <c r="H182" s="109">
        <v>0</v>
      </c>
      <c r="I182" s="109">
        <v>0</v>
      </c>
      <c r="J182" s="83"/>
      <c r="K182" s="85"/>
      <c r="L182" s="104"/>
    </row>
    <row r="183" spans="1:12" s="13" customFormat="1" ht="19.5" customHeight="1">
      <c r="A183" s="18"/>
      <c r="B183" s="85"/>
      <c r="C183" s="80">
        <v>2022</v>
      </c>
      <c r="D183" s="105">
        <v>0</v>
      </c>
      <c r="E183" s="105">
        <v>0</v>
      </c>
      <c r="F183" s="105"/>
      <c r="G183" s="105"/>
      <c r="H183" s="109">
        <v>0</v>
      </c>
      <c r="I183" s="109">
        <v>0</v>
      </c>
      <c r="J183" s="83"/>
      <c r="K183" s="85"/>
      <c r="L183" s="104"/>
    </row>
    <row r="184" spans="1:12" s="13" customFormat="1" ht="19.5" customHeight="1">
      <c r="A184" s="18"/>
      <c r="B184" s="85"/>
      <c r="C184" s="80">
        <v>2023</v>
      </c>
      <c r="D184" s="105">
        <f aca="true" t="shared" si="33" ref="D184:D188">I184</f>
        <v>0</v>
      </c>
      <c r="E184" s="105">
        <v>0</v>
      </c>
      <c r="F184" s="105"/>
      <c r="G184" s="105"/>
      <c r="H184" s="109">
        <v>0</v>
      </c>
      <c r="I184" s="109">
        <v>0</v>
      </c>
      <c r="J184" s="83"/>
      <c r="K184" s="85"/>
      <c r="L184" s="104"/>
    </row>
    <row r="185" spans="1:12" s="13" customFormat="1" ht="19.5" customHeight="1">
      <c r="A185" s="18" t="s">
        <v>109</v>
      </c>
      <c r="B185" s="85" t="s">
        <v>110</v>
      </c>
      <c r="C185" s="80">
        <v>2017</v>
      </c>
      <c r="D185" s="81">
        <f t="shared" si="33"/>
        <v>1349.864</v>
      </c>
      <c r="E185" s="105">
        <v>0</v>
      </c>
      <c r="F185" s="105"/>
      <c r="G185" s="105"/>
      <c r="H185" s="109">
        <v>0</v>
      </c>
      <c r="I185" s="110">
        <v>1349.864</v>
      </c>
      <c r="J185" s="83"/>
      <c r="K185" s="85" t="s">
        <v>111</v>
      </c>
      <c r="L185" s="104"/>
    </row>
    <row r="186" spans="1:12" s="13" customFormat="1" ht="19.5" customHeight="1">
      <c r="A186" s="18"/>
      <c r="B186" s="85"/>
      <c r="C186" s="80">
        <v>2018</v>
      </c>
      <c r="D186" s="81">
        <f t="shared" si="33"/>
        <v>0</v>
      </c>
      <c r="E186" s="105">
        <v>0</v>
      </c>
      <c r="F186" s="105"/>
      <c r="G186" s="105"/>
      <c r="H186" s="109">
        <v>0</v>
      </c>
      <c r="I186" s="110">
        <v>0</v>
      </c>
      <c r="J186" s="83"/>
      <c r="K186" s="85"/>
      <c r="L186" s="104"/>
    </row>
    <row r="187" spans="1:12" s="13" customFormat="1" ht="19.5" customHeight="1">
      <c r="A187" s="18"/>
      <c r="B187" s="85"/>
      <c r="C187" s="106">
        <v>2019</v>
      </c>
      <c r="D187" s="81">
        <f t="shared" si="33"/>
        <v>0</v>
      </c>
      <c r="E187" s="105">
        <v>0</v>
      </c>
      <c r="F187" s="105"/>
      <c r="G187" s="105"/>
      <c r="H187" s="109">
        <v>0</v>
      </c>
      <c r="I187" s="110">
        <v>0</v>
      </c>
      <c r="J187" s="83"/>
      <c r="K187" s="85"/>
      <c r="L187" s="104"/>
    </row>
    <row r="188" spans="1:12" s="13" customFormat="1" ht="19.5" customHeight="1">
      <c r="A188" s="18"/>
      <c r="B188" s="85"/>
      <c r="C188" s="80">
        <v>2020</v>
      </c>
      <c r="D188" s="81">
        <f t="shared" si="33"/>
        <v>0</v>
      </c>
      <c r="E188" s="105">
        <v>0</v>
      </c>
      <c r="F188" s="105"/>
      <c r="G188" s="105"/>
      <c r="H188" s="109">
        <v>0</v>
      </c>
      <c r="I188" s="110">
        <v>0</v>
      </c>
      <c r="J188" s="83"/>
      <c r="K188" s="85"/>
      <c r="L188" s="104"/>
    </row>
    <row r="189" spans="1:12" s="13" customFormat="1" ht="19.5" customHeight="1">
      <c r="A189" s="18"/>
      <c r="B189" s="85"/>
      <c r="C189" s="80">
        <v>2021</v>
      </c>
      <c r="D189" s="81">
        <v>0</v>
      </c>
      <c r="E189" s="105">
        <v>0</v>
      </c>
      <c r="F189" s="105"/>
      <c r="G189" s="105"/>
      <c r="H189" s="109">
        <v>0</v>
      </c>
      <c r="I189" s="110">
        <v>0</v>
      </c>
      <c r="J189" s="83"/>
      <c r="K189" s="85"/>
      <c r="L189" s="104"/>
    </row>
    <row r="190" spans="1:12" s="13" customFormat="1" ht="19.5" customHeight="1">
      <c r="A190" s="18"/>
      <c r="B190" s="85"/>
      <c r="C190" s="80">
        <v>2022</v>
      </c>
      <c r="D190" s="81">
        <v>0</v>
      </c>
      <c r="E190" s="105">
        <v>0</v>
      </c>
      <c r="F190" s="105"/>
      <c r="G190" s="105"/>
      <c r="H190" s="109">
        <v>0</v>
      </c>
      <c r="I190" s="110">
        <v>0</v>
      </c>
      <c r="J190" s="83"/>
      <c r="K190" s="85"/>
      <c r="L190" s="104"/>
    </row>
    <row r="191" spans="1:12" s="13" customFormat="1" ht="19.5" customHeight="1">
      <c r="A191" s="18"/>
      <c r="B191" s="85"/>
      <c r="C191" s="80">
        <v>2023</v>
      </c>
      <c r="D191" s="81">
        <f aca="true" t="shared" si="34" ref="D191:D196">I191</f>
        <v>0</v>
      </c>
      <c r="E191" s="105">
        <v>0</v>
      </c>
      <c r="F191" s="105"/>
      <c r="G191" s="105"/>
      <c r="H191" s="109">
        <v>0</v>
      </c>
      <c r="I191" s="110">
        <v>0</v>
      </c>
      <c r="J191" s="83"/>
      <c r="K191" s="85"/>
      <c r="L191" s="104"/>
    </row>
    <row r="192" spans="1:12" s="13" customFormat="1" ht="19.5" customHeight="1">
      <c r="A192" s="18" t="s">
        <v>112</v>
      </c>
      <c r="B192" s="85" t="s">
        <v>113</v>
      </c>
      <c r="C192" s="80">
        <v>2017</v>
      </c>
      <c r="D192" s="81">
        <f t="shared" si="34"/>
        <v>85</v>
      </c>
      <c r="E192" s="105">
        <v>0</v>
      </c>
      <c r="F192" s="105"/>
      <c r="G192" s="105"/>
      <c r="H192" s="109">
        <v>0</v>
      </c>
      <c r="I192" s="110">
        <v>85</v>
      </c>
      <c r="J192" s="83"/>
      <c r="K192" s="85" t="s">
        <v>114</v>
      </c>
      <c r="L192" s="104"/>
    </row>
    <row r="193" spans="1:12" s="13" customFormat="1" ht="19.5" customHeight="1">
      <c r="A193" s="18"/>
      <c r="B193" s="85"/>
      <c r="C193" s="80">
        <v>2018</v>
      </c>
      <c r="D193" s="81">
        <f t="shared" si="34"/>
        <v>0</v>
      </c>
      <c r="E193" s="105">
        <v>0</v>
      </c>
      <c r="F193" s="105"/>
      <c r="G193" s="105"/>
      <c r="H193" s="109">
        <v>0</v>
      </c>
      <c r="I193" s="110">
        <v>0</v>
      </c>
      <c r="J193" s="83"/>
      <c r="K193" s="85"/>
      <c r="L193" s="104"/>
    </row>
    <row r="194" spans="1:12" s="13" customFormat="1" ht="19.5" customHeight="1">
      <c r="A194" s="18"/>
      <c r="B194" s="85"/>
      <c r="C194" s="106">
        <v>2019</v>
      </c>
      <c r="D194" s="81">
        <f t="shared" si="34"/>
        <v>0</v>
      </c>
      <c r="E194" s="105">
        <v>0</v>
      </c>
      <c r="F194" s="105"/>
      <c r="G194" s="105"/>
      <c r="H194" s="109">
        <v>0</v>
      </c>
      <c r="I194" s="110">
        <v>0</v>
      </c>
      <c r="J194" s="83"/>
      <c r="K194" s="85"/>
      <c r="L194" s="104"/>
    </row>
    <row r="195" spans="1:12" s="13" customFormat="1" ht="19.5" customHeight="1">
      <c r="A195" s="18"/>
      <c r="B195" s="85"/>
      <c r="C195" s="80">
        <v>2020</v>
      </c>
      <c r="D195" s="81">
        <f t="shared" si="34"/>
        <v>0</v>
      </c>
      <c r="E195" s="105">
        <v>0</v>
      </c>
      <c r="F195" s="105"/>
      <c r="G195" s="105"/>
      <c r="H195" s="109">
        <v>0</v>
      </c>
      <c r="I195" s="110">
        <v>0</v>
      </c>
      <c r="J195" s="83"/>
      <c r="K195" s="85"/>
      <c r="L195" s="104"/>
    </row>
    <row r="196" spans="1:12" s="13" customFormat="1" ht="19.5" customHeight="1">
      <c r="A196" s="18"/>
      <c r="B196" s="85"/>
      <c r="C196" s="80">
        <v>2021</v>
      </c>
      <c r="D196" s="81">
        <f t="shared" si="34"/>
        <v>0</v>
      </c>
      <c r="E196" s="105">
        <v>0</v>
      </c>
      <c r="F196" s="105"/>
      <c r="G196" s="105"/>
      <c r="H196" s="109">
        <v>0</v>
      </c>
      <c r="I196" s="110">
        <v>0</v>
      </c>
      <c r="J196" s="83"/>
      <c r="K196" s="85"/>
      <c r="L196" s="104"/>
    </row>
    <row r="197" spans="1:12" s="13" customFormat="1" ht="19.5" customHeight="1">
      <c r="A197" s="18"/>
      <c r="B197" s="85"/>
      <c r="C197" s="80">
        <v>2022</v>
      </c>
      <c r="D197" s="81">
        <v>0</v>
      </c>
      <c r="E197" s="105">
        <v>0</v>
      </c>
      <c r="F197" s="105"/>
      <c r="G197" s="105"/>
      <c r="H197" s="109">
        <v>0</v>
      </c>
      <c r="I197" s="110">
        <v>0</v>
      </c>
      <c r="J197" s="83"/>
      <c r="K197" s="85"/>
      <c r="L197" s="104"/>
    </row>
    <row r="198" spans="1:12" s="13" customFormat="1" ht="19.5" customHeight="1">
      <c r="A198" s="18"/>
      <c r="B198" s="85"/>
      <c r="C198" s="80">
        <v>2023</v>
      </c>
      <c r="D198" s="81">
        <f aca="true" t="shared" si="35" ref="D198:D203">I198</f>
        <v>0</v>
      </c>
      <c r="E198" s="105">
        <v>0</v>
      </c>
      <c r="F198" s="105"/>
      <c r="G198" s="105"/>
      <c r="H198" s="109">
        <v>0</v>
      </c>
      <c r="I198" s="110">
        <v>0</v>
      </c>
      <c r="J198" s="83"/>
      <c r="K198" s="85"/>
      <c r="L198" s="104"/>
    </row>
    <row r="199" spans="1:12" s="13" customFormat="1" ht="19.5" customHeight="1">
      <c r="A199" s="18" t="s">
        <v>115</v>
      </c>
      <c r="B199" s="85" t="s">
        <v>116</v>
      </c>
      <c r="C199" s="80">
        <v>2017</v>
      </c>
      <c r="D199" s="81">
        <f t="shared" si="35"/>
        <v>338.66955</v>
      </c>
      <c r="E199" s="105">
        <v>0</v>
      </c>
      <c r="F199" s="105"/>
      <c r="G199" s="105"/>
      <c r="H199" s="109">
        <v>0</v>
      </c>
      <c r="I199" s="110">
        <v>338.66955</v>
      </c>
      <c r="J199" s="83"/>
      <c r="K199" s="85" t="s">
        <v>114</v>
      </c>
      <c r="L199" s="104"/>
    </row>
    <row r="200" spans="1:12" s="13" customFormat="1" ht="19.5" customHeight="1">
      <c r="A200" s="18"/>
      <c r="B200" s="85"/>
      <c r="C200" s="80"/>
      <c r="D200" s="81">
        <f t="shared" si="35"/>
        <v>227.89</v>
      </c>
      <c r="E200" s="105">
        <v>0</v>
      </c>
      <c r="F200" s="105"/>
      <c r="G200" s="105"/>
      <c r="H200" s="109">
        <v>0</v>
      </c>
      <c r="I200" s="110">
        <v>227.89</v>
      </c>
      <c r="J200" s="83"/>
      <c r="K200" s="85" t="s">
        <v>117</v>
      </c>
      <c r="L200" s="104"/>
    </row>
    <row r="201" spans="1:12" s="13" customFormat="1" ht="19.5" customHeight="1">
      <c r="A201" s="18"/>
      <c r="B201" s="85"/>
      <c r="C201" s="80">
        <v>2018</v>
      </c>
      <c r="D201" s="81">
        <f t="shared" si="35"/>
        <v>0</v>
      </c>
      <c r="E201" s="105">
        <v>0</v>
      </c>
      <c r="F201" s="105"/>
      <c r="G201" s="105"/>
      <c r="H201" s="109">
        <v>0</v>
      </c>
      <c r="I201" s="110">
        <v>0</v>
      </c>
      <c r="J201" s="83"/>
      <c r="K201" s="85"/>
      <c r="L201" s="104"/>
    </row>
    <row r="202" spans="1:12" s="13" customFormat="1" ht="19.5" customHeight="1">
      <c r="A202" s="18"/>
      <c r="B202" s="85"/>
      <c r="C202" s="80">
        <v>2019</v>
      </c>
      <c r="D202" s="81">
        <f t="shared" si="35"/>
        <v>0</v>
      </c>
      <c r="E202" s="105">
        <v>0</v>
      </c>
      <c r="F202" s="105"/>
      <c r="G202" s="105"/>
      <c r="H202" s="109">
        <v>0</v>
      </c>
      <c r="I202" s="110">
        <v>0</v>
      </c>
      <c r="J202" s="83"/>
      <c r="K202" s="85"/>
      <c r="L202" s="104"/>
    </row>
    <row r="203" spans="1:12" s="13" customFormat="1" ht="19.5" customHeight="1">
      <c r="A203" s="18"/>
      <c r="B203" s="85"/>
      <c r="C203" s="80">
        <v>2020</v>
      </c>
      <c r="D203" s="81">
        <f t="shared" si="35"/>
        <v>0</v>
      </c>
      <c r="E203" s="105">
        <v>0</v>
      </c>
      <c r="F203" s="105"/>
      <c r="G203" s="105"/>
      <c r="H203" s="109">
        <v>0</v>
      </c>
      <c r="I203" s="110">
        <v>0</v>
      </c>
      <c r="J203" s="83"/>
      <c r="K203" s="85"/>
      <c r="L203" s="104"/>
    </row>
    <row r="204" spans="1:12" s="13" customFormat="1" ht="19.5" customHeight="1">
      <c r="A204" s="18"/>
      <c r="B204" s="85"/>
      <c r="C204" s="80">
        <v>2021</v>
      </c>
      <c r="D204" s="81">
        <v>0</v>
      </c>
      <c r="E204" s="105">
        <v>0</v>
      </c>
      <c r="F204" s="105"/>
      <c r="G204" s="105"/>
      <c r="H204" s="109">
        <v>0</v>
      </c>
      <c r="I204" s="110">
        <v>0</v>
      </c>
      <c r="J204" s="83"/>
      <c r="K204" s="85"/>
      <c r="L204" s="104"/>
    </row>
    <row r="205" spans="1:12" s="13" customFormat="1" ht="19.5" customHeight="1">
      <c r="A205" s="18"/>
      <c r="B205" s="85"/>
      <c r="C205" s="80">
        <v>2022</v>
      </c>
      <c r="D205" s="81">
        <v>0</v>
      </c>
      <c r="E205" s="105">
        <v>0</v>
      </c>
      <c r="F205" s="105"/>
      <c r="G205" s="105"/>
      <c r="H205" s="109">
        <v>0</v>
      </c>
      <c r="I205" s="110">
        <v>0</v>
      </c>
      <c r="J205" s="83"/>
      <c r="K205" s="85"/>
      <c r="L205" s="104"/>
    </row>
    <row r="206" spans="1:12" s="13" customFormat="1" ht="19.5" customHeight="1">
      <c r="A206" s="18"/>
      <c r="B206" s="85"/>
      <c r="C206" s="80">
        <v>2023</v>
      </c>
      <c r="D206" s="81">
        <f aca="true" t="shared" si="36" ref="D206:D210">I206</f>
        <v>0</v>
      </c>
      <c r="E206" s="105">
        <v>0</v>
      </c>
      <c r="F206" s="105"/>
      <c r="G206" s="105"/>
      <c r="H206" s="109">
        <v>0</v>
      </c>
      <c r="I206" s="110">
        <v>0</v>
      </c>
      <c r="J206" s="83"/>
      <c r="K206" s="85"/>
      <c r="L206" s="104"/>
    </row>
    <row r="207" spans="1:12" s="13" customFormat="1" ht="19.5" customHeight="1">
      <c r="A207" s="18" t="s">
        <v>118</v>
      </c>
      <c r="B207" s="85" t="s">
        <v>119</v>
      </c>
      <c r="C207" s="80">
        <v>2017</v>
      </c>
      <c r="D207" s="81">
        <f t="shared" si="36"/>
        <v>464</v>
      </c>
      <c r="E207" s="105">
        <v>0</v>
      </c>
      <c r="F207" s="105"/>
      <c r="G207" s="105"/>
      <c r="H207" s="109">
        <v>0</v>
      </c>
      <c r="I207" s="110">
        <v>464</v>
      </c>
      <c r="J207" s="83"/>
      <c r="K207" s="85" t="s">
        <v>120</v>
      </c>
      <c r="L207" s="104"/>
    </row>
    <row r="208" spans="1:12" s="13" customFormat="1" ht="19.5" customHeight="1">
      <c r="A208" s="18"/>
      <c r="B208" s="85"/>
      <c r="C208" s="80">
        <v>2018</v>
      </c>
      <c r="D208" s="81">
        <f t="shared" si="36"/>
        <v>0</v>
      </c>
      <c r="E208" s="105">
        <v>0</v>
      </c>
      <c r="F208" s="105"/>
      <c r="G208" s="105"/>
      <c r="H208" s="109">
        <v>0</v>
      </c>
      <c r="I208" s="110">
        <v>0</v>
      </c>
      <c r="J208" s="83"/>
      <c r="K208" s="85"/>
      <c r="L208" s="104"/>
    </row>
    <row r="209" spans="1:12" s="13" customFormat="1" ht="19.5" customHeight="1">
      <c r="A209" s="18"/>
      <c r="B209" s="85"/>
      <c r="C209" s="80">
        <v>2019</v>
      </c>
      <c r="D209" s="81">
        <f t="shared" si="36"/>
        <v>0</v>
      </c>
      <c r="E209" s="105">
        <v>0</v>
      </c>
      <c r="F209" s="105"/>
      <c r="G209" s="105"/>
      <c r="H209" s="109">
        <v>0</v>
      </c>
      <c r="I209" s="110">
        <v>0</v>
      </c>
      <c r="J209" s="83"/>
      <c r="K209" s="85"/>
      <c r="L209" s="104"/>
    </row>
    <row r="210" spans="1:12" s="13" customFormat="1" ht="19.5" customHeight="1">
      <c r="A210" s="18"/>
      <c r="B210" s="85"/>
      <c r="C210" s="80">
        <v>2020</v>
      </c>
      <c r="D210" s="81">
        <f t="shared" si="36"/>
        <v>0</v>
      </c>
      <c r="E210" s="105">
        <v>0</v>
      </c>
      <c r="F210" s="105"/>
      <c r="G210" s="105"/>
      <c r="H210" s="109">
        <v>0</v>
      </c>
      <c r="I210" s="110">
        <v>0</v>
      </c>
      <c r="J210" s="83"/>
      <c r="K210" s="85"/>
      <c r="L210" s="104"/>
    </row>
    <row r="211" spans="1:12" s="13" customFormat="1" ht="19.5" customHeight="1">
      <c r="A211" s="18"/>
      <c r="B211" s="85"/>
      <c r="C211" s="80">
        <v>2021</v>
      </c>
      <c r="D211" s="81">
        <v>0</v>
      </c>
      <c r="E211" s="105">
        <v>0</v>
      </c>
      <c r="F211" s="105"/>
      <c r="G211" s="105"/>
      <c r="H211" s="109">
        <v>0</v>
      </c>
      <c r="I211" s="110">
        <v>0</v>
      </c>
      <c r="J211" s="83"/>
      <c r="K211" s="85"/>
      <c r="L211" s="104"/>
    </row>
    <row r="212" spans="1:12" s="13" customFormat="1" ht="19.5" customHeight="1">
      <c r="A212" s="18"/>
      <c r="B212" s="85"/>
      <c r="C212" s="80">
        <v>2022</v>
      </c>
      <c r="D212" s="81">
        <v>0</v>
      </c>
      <c r="E212" s="105">
        <v>0</v>
      </c>
      <c r="F212" s="105"/>
      <c r="G212" s="105"/>
      <c r="H212" s="109">
        <v>0</v>
      </c>
      <c r="I212" s="110">
        <v>0</v>
      </c>
      <c r="J212" s="83"/>
      <c r="K212" s="85"/>
      <c r="L212" s="104"/>
    </row>
    <row r="213" spans="1:12" s="13" customFormat="1" ht="19.5" customHeight="1">
      <c r="A213" s="18"/>
      <c r="B213" s="85"/>
      <c r="C213" s="80">
        <v>2023</v>
      </c>
      <c r="D213" s="81">
        <f>I1923</f>
        <v>0</v>
      </c>
      <c r="E213" s="105">
        <v>0</v>
      </c>
      <c r="F213" s="105"/>
      <c r="G213" s="105"/>
      <c r="H213" s="109">
        <v>0</v>
      </c>
      <c r="I213" s="110">
        <v>0</v>
      </c>
      <c r="J213" s="83"/>
      <c r="K213" s="85"/>
      <c r="L213" s="104"/>
    </row>
    <row r="214" spans="1:12" s="111" customFormat="1" ht="19.5" customHeight="1">
      <c r="A214" s="18" t="s">
        <v>121</v>
      </c>
      <c r="B214" s="85" t="s">
        <v>122</v>
      </c>
      <c r="C214" s="80">
        <v>2017</v>
      </c>
      <c r="D214" s="81">
        <f aca="true" t="shared" si="37" ref="D214:D216">I214</f>
        <v>0</v>
      </c>
      <c r="E214" s="105">
        <v>0</v>
      </c>
      <c r="F214" s="105"/>
      <c r="G214" s="105"/>
      <c r="H214" s="109">
        <v>0</v>
      </c>
      <c r="I214" s="110">
        <v>0</v>
      </c>
      <c r="J214" s="83"/>
      <c r="K214" s="85"/>
      <c r="L214" s="104"/>
    </row>
    <row r="215" spans="1:12" s="111" customFormat="1" ht="19.5" customHeight="1">
      <c r="A215" s="18"/>
      <c r="B215" s="85"/>
      <c r="C215" s="67">
        <v>2018</v>
      </c>
      <c r="D215" s="18">
        <f t="shared" si="37"/>
        <v>195</v>
      </c>
      <c r="E215" s="105">
        <v>0</v>
      </c>
      <c r="F215" s="105"/>
      <c r="G215" s="105"/>
      <c r="H215" s="109">
        <v>0</v>
      </c>
      <c r="I215" s="18">
        <f>200-5</f>
        <v>195</v>
      </c>
      <c r="J215" s="83"/>
      <c r="K215" s="79" t="s">
        <v>123</v>
      </c>
      <c r="L215" s="104"/>
    </row>
    <row r="216" spans="1:12" s="111" customFormat="1" ht="19.5" customHeight="1">
      <c r="A216" s="18"/>
      <c r="B216" s="85"/>
      <c r="C216" s="67">
        <v>2019</v>
      </c>
      <c r="D216" s="18">
        <f t="shared" si="37"/>
        <v>0</v>
      </c>
      <c r="E216" s="105">
        <v>0</v>
      </c>
      <c r="F216" s="105"/>
      <c r="G216" s="105"/>
      <c r="H216" s="109">
        <v>0</v>
      </c>
      <c r="I216" s="18">
        <v>0</v>
      </c>
      <c r="J216" s="83"/>
      <c r="K216" s="79"/>
      <c r="L216" s="104"/>
    </row>
    <row r="217" spans="1:12" s="111" customFormat="1" ht="19.5" customHeight="1">
      <c r="A217" s="18"/>
      <c r="B217" s="85"/>
      <c r="C217" s="67">
        <v>2020</v>
      </c>
      <c r="D217" s="18">
        <f>SUM(E217:I217)</f>
        <v>0</v>
      </c>
      <c r="E217" s="105">
        <v>0</v>
      </c>
      <c r="F217" s="105"/>
      <c r="G217" s="105"/>
      <c r="H217" s="109">
        <v>0</v>
      </c>
      <c r="I217" s="18">
        <v>0</v>
      </c>
      <c r="J217" s="83"/>
      <c r="K217" s="79"/>
      <c r="L217" s="104"/>
    </row>
    <row r="218" spans="1:12" s="111" customFormat="1" ht="19.5" customHeight="1">
      <c r="A218" s="18"/>
      <c r="B218" s="85"/>
      <c r="C218" s="67">
        <v>2021</v>
      </c>
      <c r="D218" s="18">
        <v>0</v>
      </c>
      <c r="E218" s="105">
        <v>0</v>
      </c>
      <c r="F218" s="105"/>
      <c r="G218" s="105"/>
      <c r="H218" s="109">
        <v>0</v>
      </c>
      <c r="I218" s="18">
        <v>0</v>
      </c>
      <c r="J218" s="83"/>
      <c r="K218" s="79"/>
      <c r="L218" s="104"/>
    </row>
    <row r="219" spans="1:12" s="111" customFormat="1" ht="19.5" customHeight="1">
      <c r="A219" s="18"/>
      <c r="B219" s="85"/>
      <c r="C219" s="67">
        <v>2022</v>
      </c>
      <c r="D219" s="18">
        <v>0</v>
      </c>
      <c r="E219" s="105">
        <v>0</v>
      </c>
      <c r="F219" s="105"/>
      <c r="G219" s="105"/>
      <c r="H219" s="109">
        <v>0</v>
      </c>
      <c r="I219" s="18">
        <v>0</v>
      </c>
      <c r="J219" s="83"/>
      <c r="K219" s="79"/>
      <c r="L219" s="104"/>
    </row>
    <row r="220" spans="1:12" s="111" customFormat="1" ht="19.5" customHeight="1">
      <c r="A220" s="18"/>
      <c r="B220" s="85"/>
      <c r="C220" s="67">
        <v>2023</v>
      </c>
      <c r="D220" s="18">
        <f aca="true" t="shared" si="38" ref="D220:D222">I220</f>
        <v>0</v>
      </c>
      <c r="E220" s="105">
        <v>0</v>
      </c>
      <c r="F220" s="105"/>
      <c r="G220" s="105"/>
      <c r="H220" s="109">
        <v>0</v>
      </c>
      <c r="I220" s="18">
        <v>0</v>
      </c>
      <c r="J220" s="83"/>
      <c r="K220" s="79"/>
      <c r="L220" s="104"/>
    </row>
    <row r="221" spans="1:12" s="111" customFormat="1" ht="19.5" customHeight="1">
      <c r="A221" s="18" t="s">
        <v>124</v>
      </c>
      <c r="B221" s="85" t="s">
        <v>125</v>
      </c>
      <c r="C221" s="67">
        <v>2017</v>
      </c>
      <c r="D221" s="18">
        <f t="shared" si="38"/>
        <v>0</v>
      </c>
      <c r="E221" s="105">
        <v>0</v>
      </c>
      <c r="F221" s="105"/>
      <c r="G221" s="105"/>
      <c r="H221" s="109">
        <v>0</v>
      </c>
      <c r="I221" s="18">
        <v>0</v>
      </c>
      <c r="J221" s="83"/>
      <c r="K221" s="79"/>
      <c r="L221" s="104"/>
    </row>
    <row r="222" spans="1:12" s="111" customFormat="1" ht="19.5" customHeight="1">
      <c r="A222" s="18"/>
      <c r="B222" s="85"/>
      <c r="C222" s="67">
        <v>2018</v>
      </c>
      <c r="D222" s="18">
        <f t="shared" si="38"/>
        <v>1995.79</v>
      </c>
      <c r="E222" s="105">
        <v>0</v>
      </c>
      <c r="F222" s="105"/>
      <c r="G222" s="105"/>
      <c r="H222" s="109">
        <v>0</v>
      </c>
      <c r="I222" s="18">
        <f>1995.79</f>
        <v>1995.79</v>
      </c>
      <c r="J222" s="83"/>
      <c r="K222" s="112" t="s">
        <v>114</v>
      </c>
      <c r="L222" s="104"/>
    </row>
    <row r="223" spans="1:12" s="111" customFormat="1" ht="19.5" customHeight="1">
      <c r="A223" s="18"/>
      <c r="B223" s="85"/>
      <c r="C223" s="67">
        <v>2019</v>
      </c>
      <c r="D223" s="18">
        <f>E223+H223+I223</f>
        <v>0</v>
      </c>
      <c r="E223" s="105">
        <v>0</v>
      </c>
      <c r="F223" s="105"/>
      <c r="G223" s="105"/>
      <c r="H223" s="109">
        <v>0</v>
      </c>
      <c r="I223" s="18">
        <v>0</v>
      </c>
      <c r="J223" s="83"/>
      <c r="K223" s="112"/>
      <c r="L223" s="104"/>
    </row>
    <row r="224" spans="1:12" s="111" customFormat="1" ht="19.5" customHeight="1">
      <c r="A224" s="18"/>
      <c r="B224" s="85"/>
      <c r="C224" s="67">
        <v>2020</v>
      </c>
      <c r="D224" s="18">
        <f>SUM(E224:I224)</f>
        <v>0</v>
      </c>
      <c r="E224" s="105">
        <v>0</v>
      </c>
      <c r="F224" s="105"/>
      <c r="G224" s="105"/>
      <c r="H224" s="109">
        <v>0</v>
      </c>
      <c r="I224" s="18">
        <v>0</v>
      </c>
      <c r="J224" s="83"/>
      <c r="K224" s="112"/>
      <c r="L224" s="104"/>
    </row>
    <row r="225" spans="1:12" s="111" customFormat="1" ht="19.5" customHeight="1">
      <c r="A225" s="18"/>
      <c r="B225" s="85"/>
      <c r="C225" s="67">
        <v>2021</v>
      </c>
      <c r="D225" s="18">
        <v>0</v>
      </c>
      <c r="E225" s="105">
        <v>0</v>
      </c>
      <c r="F225" s="105"/>
      <c r="G225" s="105"/>
      <c r="H225" s="109">
        <v>0</v>
      </c>
      <c r="I225" s="18">
        <v>0</v>
      </c>
      <c r="J225" s="83"/>
      <c r="K225" s="85"/>
      <c r="L225" s="104"/>
    </row>
    <row r="226" spans="1:12" s="111" customFormat="1" ht="19.5" customHeight="1">
      <c r="A226" s="18"/>
      <c r="B226" s="85"/>
      <c r="C226" s="67">
        <v>2022</v>
      </c>
      <c r="D226" s="18">
        <v>0</v>
      </c>
      <c r="E226" s="105">
        <v>0</v>
      </c>
      <c r="F226" s="105"/>
      <c r="G226" s="105"/>
      <c r="H226" s="109">
        <v>0</v>
      </c>
      <c r="I226" s="18">
        <v>0</v>
      </c>
      <c r="J226" s="83"/>
      <c r="K226" s="85"/>
      <c r="L226" s="104"/>
    </row>
    <row r="227" spans="1:12" s="111" customFormat="1" ht="19.5" customHeight="1">
      <c r="A227" s="18"/>
      <c r="B227" s="85"/>
      <c r="C227" s="67">
        <v>2023</v>
      </c>
      <c r="D227" s="18">
        <f aca="true" t="shared" si="39" ref="D227:D229">I227</f>
        <v>0</v>
      </c>
      <c r="E227" s="105">
        <v>0</v>
      </c>
      <c r="F227" s="105"/>
      <c r="G227" s="105"/>
      <c r="H227" s="109">
        <v>0</v>
      </c>
      <c r="I227" s="18"/>
      <c r="J227" s="83"/>
      <c r="K227" s="85"/>
      <c r="L227" s="104"/>
    </row>
    <row r="228" spans="1:12" s="111" customFormat="1" ht="19.5" customHeight="1">
      <c r="A228" s="18" t="s">
        <v>126</v>
      </c>
      <c r="B228" s="85" t="s">
        <v>127</v>
      </c>
      <c r="C228" s="67">
        <v>2017</v>
      </c>
      <c r="D228" s="18">
        <f t="shared" si="39"/>
        <v>0</v>
      </c>
      <c r="E228" s="105">
        <v>0</v>
      </c>
      <c r="F228" s="105"/>
      <c r="G228" s="105"/>
      <c r="H228" s="109">
        <v>0</v>
      </c>
      <c r="I228" s="18">
        <v>0</v>
      </c>
      <c r="J228" s="83"/>
      <c r="K228" s="85"/>
      <c r="L228" s="104"/>
    </row>
    <row r="229" spans="1:12" s="111" customFormat="1" ht="19.5" customHeight="1">
      <c r="A229" s="18"/>
      <c r="B229" s="85"/>
      <c r="C229" s="67">
        <v>2018</v>
      </c>
      <c r="D229" s="18">
        <f t="shared" si="39"/>
        <v>430.48148</v>
      </c>
      <c r="E229" s="105">
        <v>0</v>
      </c>
      <c r="F229" s="105"/>
      <c r="G229" s="105"/>
      <c r="H229" s="109">
        <v>0</v>
      </c>
      <c r="I229" s="18">
        <v>430.48148</v>
      </c>
      <c r="J229" s="83"/>
      <c r="K229" s="113" t="s">
        <v>114</v>
      </c>
      <c r="L229" s="104"/>
    </row>
    <row r="230" spans="1:12" s="111" customFormat="1" ht="19.5" customHeight="1">
      <c r="A230" s="18"/>
      <c r="B230" s="85"/>
      <c r="C230" s="67">
        <v>2019</v>
      </c>
      <c r="D230" s="18">
        <f aca="true" t="shared" si="40" ref="D230:D231">I230+H230+E230</f>
        <v>19.10327</v>
      </c>
      <c r="E230" s="105">
        <v>0</v>
      </c>
      <c r="F230" s="105"/>
      <c r="G230" s="105"/>
      <c r="H230" s="109">
        <v>0</v>
      </c>
      <c r="I230" s="18">
        <v>19.10327</v>
      </c>
      <c r="J230" s="83"/>
      <c r="K230" s="113"/>
      <c r="L230" s="104"/>
    </row>
    <row r="231" spans="1:12" s="111" customFormat="1" ht="19.5" customHeight="1">
      <c r="A231" s="18"/>
      <c r="B231" s="85"/>
      <c r="C231" s="67">
        <v>2020</v>
      </c>
      <c r="D231" s="18">
        <f t="shared" si="40"/>
        <v>0</v>
      </c>
      <c r="E231" s="105">
        <v>0</v>
      </c>
      <c r="F231" s="105"/>
      <c r="G231" s="105"/>
      <c r="H231" s="109">
        <v>0</v>
      </c>
      <c r="I231" s="18">
        <v>0</v>
      </c>
      <c r="J231" s="83"/>
      <c r="K231" s="113"/>
      <c r="L231" s="104"/>
    </row>
    <row r="232" spans="1:12" s="111" customFormat="1" ht="19.5" customHeight="1">
      <c r="A232" s="18"/>
      <c r="B232" s="85"/>
      <c r="C232" s="67">
        <v>2021</v>
      </c>
      <c r="D232" s="18">
        <v>0</v>
      </c>
      <c r="E232" s="105">
        <v>0</v>
      </c>
      <c r="F232" s="105"/>
      <c r="G232" s="105"/>
      <c r="H232" s="109">
        <v>0</v>
      </c>
      <c r="I232" s="18">
        <v>0</v>
      </c>
      <c r="J232" s="83"/>
      <c r="K232" s="113"/>
      <c r="L232" s="104"/>
    </row>
    <row r="233" spans="1:12" s="111" customFormat="1" ht="19.5" customHeight="1">
      <c r="A233" s="18"/>
      <c r="B233" s="85"/>
      <c r="C233" s="67">
        <v>2022</v>
      </c>
      <c r="D233" s="18">
        <f>I233+H233+E233</f>
        <v>0</v>
      </c>
      <c r="E233" s="105">
        <v>0</v>
      </c>
      <c r="F233" s="105"/>
      <c r="G233" s="105"/>
      <c r="H233" s="109">
        <v>0</v>
      </c>
      <c r="I233" s="18">
        <v>0</v>
      </c>
      <c r="J233" s="83"/>
      <c r="K233" s="113"/>
      <c r="L233" s="104"/>
    </row>
    <row r="234" spans="1:12" s="111" customFormat="1" ht="19.5" customHeight="1">
      <c r="A234" s="18"/>
      <c r="B234" s="85"/>
      <c r="C234" s="67">
        <v>2023</v>
      </c>
      <c r="D234" s="18">
        <f>I2100</f>
        <v>0</v>
      </c>
      <c r="E234" s="105">
        <v>0</v>
      </c>
      <c r="F234" s="105"/>
      <c r="G234" s="105"/>
      <c r="H234" s="109">
        <v>0</v>
      </c>
      <c r="I234" s="18">
        <v>0</v>
      </c>
      <c r="J234" s="83"/>
      <c r="K234" s="113"/>
      <c r="L234" s="104"/>
    </row>
    <row r="235" spans="1:12" s="111" customFormat="1" ht="19.5" customHeight="1">
      <c r="A235" s="18" t="s">
        <v>128</v>
      </c>
      <c r="B235" s="85" t="s">
        <v>129</v>
      </c>
      <c r="C235" s="67">
        <v>2017</v>
      </c>
      <c r="D235" s="18">
        <f>I235</f>
        <v>0</v>
      </c>
      <c r="E235" s="105">
        <v>0</v>
      </c>
      <c r="F235" s="105"/>
      <c r="G235" s="105"/>
      <c r="H235" s="109">
        <v>0</v>
      </c>
      <c r="I235" s="18">
        <v>0</v>
      </c>
      <c r="J235" s="83"/>
      <c r="K235" s="113"/>
      <c r="L235" s="104"/>
    </row>
    <row r="236" spans="1:12" s="111" customFormat="1" ht="19.5" customHeight="1">
      <c r="A236" s="18"/>
      <c r="B236" s="85"/>
      <c r="C236" s="67">
        <v>2018</v>
      </c>
      <c r="D236" s="18">
        <f aca="true" t="shared" si="41" ref="D236:D238">E236+H236+I236</f>
        <v>99</v>
      </c>
      <c r="E236" s="105">
        <v>0</v>
      </c>
      <c r="F236" s="105"/>
      <c r="G236" s="105"/>
      <c r="H236" s="109">
        <v>0</v>
      </c>
      <c r="I236" s="18">
        <f>700-601</f>
        <v>99</v>
      </c>
      <c r="J236" s="83"/>
      <c r="K236" s="79" t="s">
        <v>114</v>
      </c>
      <c r="L236" s="104"/>
    </row>
    <row r="237" spans="1:12" s="111" customFormat="1" ht="19.5" customHeight="1">
      <c r="A237" s="18"/>
      <c r="B237" s="85"/>
      <c r="C237" s="67">
        <v>2019</v>
      </c>
      <c r="D237" s="18">
        <f t="shared" si="41"/>
        <v>1466.86667</v>
      </c>
      <c r="E237" s="105">
        <v>0</v>
      </c>
      <c r="F237" s="105"/>
      <c r="G237" s="105"/>
      <c r="H237" s="109">
        <v>0</v>
      </c>
      <c r="I237" s="18">
        <f>1466.86667</f>
        <v>1466.86667</v>
      </c>
      <c r="J237" s="83"/>
      <c r="K237" s="114" t="s">
        <v>114</v>
      </c>
      <c r="L237" s="104"/>
    </row>
    <row r="238" spans="1:12" s="111" customFormat="1" ht="19.5" customHeight="1">
      <c r="A238" s="18"/>
      <c r="B238" s="85"/>
      <c r="C238" s="67">
        <v>2020</v>
      </c>
      <c r="D238" s="18">
        <f t="shared" si="41"/>
        <v>1466.86667</v>
      </c>
      <c r="E238" s="105">
        <v>0</v>
      </c>
      <c r="F238" s="105"/>
      <c r="G238" s="105"/>
      <c r="H238" s="109">
        <v>0</v>
      </c>
      <c r="I238" s="18">
        <v>1466.86667</v>
      </c>
      <c r="J238" s="83"/>
      <c r="K238" s="114"/>
      <c r="L238" s="104"/>
    </row>
    <row r="239" spans="1:12" s="111" customFormat="1" ht="19.5" customHeight="1">
      <c r="A239" s="18"/>
      <c r="B239" s="85"/>
      <c r="C239" s="67">
        <v>2021</v>
      </c>
      <c r="D239" s="18">
        <v>0</v>
      </c>
      <c r="E239" s="105">
        <v>0</v>
      </c>
      <c r="F239" s="105"/>
      <c r="G239" s="105"/>
      <c r="H239" s="109">
        <v>0</v>
      </c>
      <c r="I239" s="18">
        <v>0</v>
      </c>
      <c r="J239" s="83"/>
      <c r="K239" s="79"/>
      <c r="L239" s="104"/>
    </row>
    <row r="240" spans="1:12" s="111" customFormat="1" ht="19.5" customHeight="1">
      <c r="A240" s="18"/>
      <c r="B240" s="85"/>
      <c r="C240" s="67">
        <v>2022</v>
      </c>
      <c r="D240" s="18">
        <v>0</v>
      </c>
      <c r="E240" s="105">
        <v>0</v>
      </c>
      <c r="F240" s="105"/>
      <c r="G240" s="105"/>
      <c r="H240" s="109">
        <v>0</v>
      </c>
      <c r="I240" s="18">
        <v>0</v>
      </c>
      <c r="J240" s="83"/>
      <c r="K240" s="79"/>
      <c r="L240" s="104"/>
    </row>
    <row r="241" spans="1:12" s="111" customFormat="1" ht="19.5" customHeight="1">
      <c r="A241" s="18"/>
      <c r="B241" s="85"/>
      <c r="C241" s="67">
        <v>2023</v>
      </c>
      <c r="D241" s="18">
        <f aca="true" t="shared" si="42" ref="D241:D242">I241</f>
        <v>0</v>
      </c>
      <c r="E241" s="105">
        <v>0</v>
      </c>
      <c r="F241" s="105"/>
      <c r="G241" s="105"/>
      <c r="H241" s="109">
        <v>0</v>
      </c>
      <c r="I241" s="18">
        <v>0</v>
      </c>
      <c r="J241" s="83"/>
      <c r="K241" s="79"/>
      <c r="L241" s="104"/>
    </row>
    <row r="242" spans="1:12" s="111" customFormat="1" ht="19.5" customHeight="1">
      <c r="A242" s="18" t="s">
        <v>130</v>
      </c>
      <c r="B242" s="85" t="s">
        <v>131</v>
      </c>
      <c r="C242" s="67">
        <v>2017</v>
      </c>
      <c r="D242" s="18">
        <f t="shared" si="42"/>
        <v>0</v>
      </c>
      <c r="E242" s="105">
        <v>0</v>
      </c>
      <c r="F242" s="105"/>
      <c r="G242" s="105"/>
      <c r="H242" s="109">
        <v>0</v>
      </c>
      <c r="I242" s="18">
        <v>0</v>
      </c>
      <c r="J242" s="83"/>
      <c r="K242" s="79"/>
      <c r="L242" s="104"/>
    </row>
    <row r="243" spans="1:12" s="111" customFormat="1" ht="19.5" customHeight="1">
      <c r="A243" s="18"/>
      <c r="B243" s="85"/>
      <c r="C243" s="67">
        <v>2018</v>
      </c>
      <c r="D243" s="18">
        <f aca="true" t="shared" si="43" ref="D243:D245">SUM(E243:I243)</f>
        <v>0</v>
      </c>
      <c r="E243" s="105">
        <v>0</v>
      </c>
      <c r="F243" s="105"/>
      <c r="G243" s="105"/>
      <c r="H243" s="109">
        <v>0</v>
      </c>
      <c r="I243" s="18">
        <v>0</v>
      </c>
      <c r="J243" s="83"/>
      <c r="K243" s="85" t="s">
        <v>114</v>
      </c>
      <c r="L243" s="104"/>
    </row>
    <row r="244" spans="1:12" s="111" customFormat="1" ht="19.5" customHeight="1">
      <c r="A244" s="18"/>
      <c r="B244" s="85"/>
      <c r="C244" s="67">
        <v>2019</v>
      </c>
      <c r="D244" s="18">
        <f t="shared" si="43"/>
        <v>0</v>
      </c>
      <c r="E244" s="105">
        <v>0</v>
      </c>
      <c r="F244" s="105"/>
      <c r="G244" s="105"/>
      <c r="H244" s="109">
        <v>0</v>
      </c>
      <c r="I244" s="18">
        <v>0</v>
      </c>
      <c r="J244" s="83"/>
      <c r="K244" s="85"/>
      <c r="L244" s="104"/>
    </row>
    <row r="245" spans="1:12" s="111" customFormat="1" ht="19.5" customHeight="1">
      <c r="A245" s="18"/>
      <c r="B245" s="85"/>
      <c r="C245" s="67">
        <v>2020</v>
      </c>
      <c r="D245" s="18">
        <f t="shared" si="43"/>
        <v>0</v>
      </c>
      <c r="E245" s="105">
        <v>0</v>
      </c>
      <c r="F245" s="105"/>
      <c r="G245" s="105"/>
      <c r="H245" s="109">
        <v>0</v>
      </c>
      <c r="I245" s="18">
        <v>0</v>
      </c>
      <c r="J245" s="83"/>
      <c r="K245" s="85"/>
      <c r="L245" s="104"/>
    </row>
    <row r="246" spans="1:12" s="111" customFormat="1" ht="19.5" customHeight="1">
      <c r="A246" s="18"/>
      <c r="B246" s="85"/>
      <c r="C246" s="67">
        <v>2021</v>
      </c>
      <c r="D246" s="18">
        <v>0</v>
      </c>
      <c r="E246" s="105">
        <v>0</v>
      </c>
      <c r="F246" s="105"/>
      <c r="G246" s="105"/>
      <c r="H246" s="109">
        <v>0</v>
      </c>
      <c r="I246" s="18">
        <v>0</v>
      </c>
      <c r="J246" s="83"/>
      <c r="K246" s="85"/>
      <c r="L246" s="104"/>
    </row>
    <row r="247" spans="1:12" s="111" customFormat="1" ht="19.5" customHeight="1">
      <c r="A247" s="18"/>
      <c r="B247" s="85"/>
      <c r="C247" s="67">
        <v>2022</v>
      </c>
      <c r="D247" s="18">
        <v>0</v>
      </c>
      <c r="E247" s="105">
        <v>0</v>
      </c>
      <c r="F247" s="105"/>
      <c r="G247" s="105"/>
      <c r="H247" s="109">
        <v>0</v>
      </c>
      <c r="I247" s="18">
        <v>0</v>
      </c>
      <c r="J247" s="83"/>
      <c r="K247" s="85"/>
      <c r="L247" s="104"/>
    </row>
    <row r="248" spans="1:12" s="111" customFormat="1" ht="19.5" customHeight="1">
      <c r="A248" s="18"/>
      <c r="B248" s="85"/>
      <c r="C248" s="67">
        <v>2023</v>
      </c>
      <c r="D248" s="18">
        <v>0</v>
      </c>
      <c r="E248" s="105">
        <v>0</v>
      </c>
      <c r="F248" s="105"/>
      <c r="G248" s="105"/>
      <c r="H248" s="109">
        <v>0</v>
      </c>
      <c r="I248" s="18">
        <v>0</v>
      </c>
      <c r="J248" s="83"/>
      <c r="K248" s="85"/>
      <c r="L248" s="104"/>
    </row>
    <row r="249" spans="1:12" s="111" customFormat="1" ht="19.5" customHeight="1">
      <c r="A249" s="18" t="s">
        <v>132</v>
      </c>
      <c r="B249" s="115" t="s">
        <v>133</v>
      </c>
      <c r="C249" s="67">
        <v>2017</v>
      </c>
      <c r="D249" s="18">
        <f aca="true" t="shared" si="44" ref="D249:D258">I249</f>
        <v>0</v>
      </c>
      <c r="E249" s="105">
        <v>0</v>
      </c>
      <c r="F249" s="105"/>
      <c r="G249" s="105"/>
      <c r="H249" s="109">
        <v>0</v>
      </c>
      <c r="I249" s="18">
        <v>0</v>
      </c>
      <c r="J249" s="83"/>
      <c r="K249" s="85"/>
      <c r="L249" s="104"/>
    </row>
    <row r="250" spans="1:12" s="111" customFormat="1" ht="19.5" customHeight="1">
      <c r="A250" s="18"/>
      <c r="B250" s="115"/>
      <c r="C250" s="67">
        <v>2018</v>
      </c>
      <c r="D250" s="18">
        <f t="shared" si="44"/>
        <v>210.241</v>
      </c>
      <c r="E250" s="105">
        <v>0</v>
      </c>
      <c r="F250" s="105"/>
      <c r="G250" s="105"/>
      <c r="H250" s="109">
        <v>0</v>
      </c>
      <c r="I250" s="18">
        <v>210.241</v>
      </c>
      <c r="J250" s="83"/>
      <c r="K250" s="85" t="s">
        <v>134</v>
      </c>
      <c r="L250" s="104"/>
    </row>
    <row r="251" spans="1:12" s="111" customFormat="1" ht="19.5" customHeight="1">
      <c r="A251" s="18"/>
      <c r="B251" s="115"/>
      <c r="C251" s="67">
        <v>2018</v>
      </c>
      <c r="D251" s="18">
        <f t="shared" si="44"/>
        <v>312.53700000000003</v>
      </c>
      <c r="E251" s="105">
        <v>0</v>
      </c>
      <c r="F251" s="105"/>
      <c r="G251" s="105"/>
      <c r="H251" s="109">
        <v>0</v>
      </c>
      <c r="I251" s="18">
        <f>240+72.537</f>
        <v>312.53700000000003</v>
      </c>
      <c r="J251" s="83"/>
      <c r="K251" s="85" t="s">
        <v>135</v>
      </c>
      <c r="L251" s="104"/>
    </row>
    <row r="252" spans="1:12" s="111" customFormat="1" ht="19.5" customHeight="1">
      <c r="A252" s="18"/>
      <c r="B252" s="115"/>
      <c r="C252" s="67">
        <v>2018</v>
      </c>
      <c r="D252" s="18">
        <f t="shared" si="44"/>
        <v>150</v>
      </c>
      <c r="E252" s="105">
        <v>0</v>
      </c>
      <c r="F252" s="105"/>
      <c r="G252" s="105"/>
      <c r="H252" s="109">
        <v>0</v>
      </c>
      <c r="I252" s="18">
        <v>150</v>
      </c>
      <c r="J252" s="83"/>
      <c r="K252" s="85" t="s">
        <v>111</v>
      </c>
      <c r="L252" s="104"/>
    </row>
    <row r="253" spans="1:12" s="111" customFormat="1" ht="19.5" customHeight="1">
      <c r="A253" s="18"/>
      <c r="B253" s="115"/>
      <c r="C253" s="67">
        <v>2018</v>
      </c>
      <c r="D253" s="18">
        <f t="shared" si="44"/>
        <v>320</v>
      </c>
      <c r="E253" s="105">
        <v>0</v>
      </c>
      <c r="F253" s="105"/>
      <c r="G253" s="105"/>
      <c r="H253" s="109">
        <v>0</v>
      </c>
      <c r="I253" s="18">
        <v>320</v>
      </c>
      <c r="J253" s="83"/>
      <c r="K253" s="85" t="s">
        <v>108</v>
      </c>
      <c r="L253" s="104"/>
    </row>
    <row r="254" spans="1:12" s="111" customFormat="1" ht="19.5" customHeight="1">
      <c r="A254" s="18"/>
      <c r="B254" s="115"/>
      <c r="C254" s="67">
        <v>2018</v>
      </c>
      <c r="D254" s="18">
        <f t="shared" si="44"/>
        <v>0</v>
      </c>
      <c r="E254" s="105">
        <v>0</v>
      </c>
      <c r="F254" s="105"/>
      <c r="G254" s="105"/>
      <c r="H254" s="109">
        <v>0</v>
      </c>
      <c r="I254" s="18">
        <v>0</v>
      </c>
      <c r="J254" s="83"/>
      <c r="K254" s="85" t="s">
        <v>136</v>
      </c>
      <c r="L254" s="104"/>
    </row>
    <row r="255" spans="1:12" s="111" customFormat="1" ht="19.5" customHeight="1">
      <c r="A255" s="18"/>
      <c r="B255" s="115"/>
      <c r="C255" s="67">
        <v>2019</v>
      </c>
      <c r="D255" s="18">
        <f t="shared" si="44"/>
        <v>0</v>
      </c>
      <c r="E255" s="105">
        <v>0</v>
      </c>
      <c r="F255" s="105"/>
      <c r="G255" s="105"/>
      <c r="H255" s="109">
        <v>0</v>
      </c>
      <c r="I255" s="18">
        <v>0</v>
      </c>
      <c r="J255" s="83"/>
      <c r="K255" s="85"/>
      <c r="L255" s="104"/>
    </row>
    <row r="256" spans="1:12" s="111" customFormat="1" ht="19.5" customHeight="1">
      <c r="A256" s="18"/>
      <c r="B256" s="115"/>
      <c r="C256" s="67">
        <v>2020</v>
      </c>
      <c r="D256" s="18">
        <f t="shared" si="44"/>
        <v>0</v>
      </c>
      <c r="E256" s="105">
        <v>0</v>
      </c>
      <c r="F256" s="105"/>
      <c r="G256" s="105"/>
      <c r="H256" s="109">
        <v>0</v>
      </c>
      <c r="I256" s="18">
        <v>0</v>
      </c>
      <c r="J256" s="83"/>
      <c r="K256" s="85"/>
      <c r="L256" s="104"/>
    </row>
    <row r="257" spans="1:12" s="111" customFormat="1" ht="19.5" customHeight="1">
      <c r="A257" s="18"/>
      <c r="B257" s="115"/>
      <c r="C257" s="67">
        <v>2021</v>
      </c>
      <c r="D257" s="18">
        <f t="shared" si="44"/>
        <v>0</v>
      </c>
      <c r="E257" s="105">
        <v>0</v>
      </c>
      <c r="F257" s="105"/>
      <c r="G257" s="105"/>
      <c r="H257" s="109">
        <v>0</v>
      </c>
      <c r="I257" s="18">
        <v>0</v>
      </c>
      <c r="J257" s="83"/>
      <c r="K257" s="85"/>
      <c r="L257" s="104"/>
    </row>
    <row r="258" spans="1:12" s="111" customFormat="1" ht="19.5" customHeight="1">
      <c r="A258" s="18"/>
      <c r="B258" s="115"/>
      <c r="C258" s="67">
        <v>2022</v>
      </c>
      <c r="D258" s="18">
        <f t="shared" si="44"/>
        <v>0</v>
      </c>
      <c r="E258" s="105">
        <v>0</v>
      </c>
      <c r="F258" s="105"/>
      <c r="G258" s="105"/>
      <c r="H258" s="109">
        <v>0</v>
      </c>
      <c r="I258" s="18">
        <v>0</v>
      </c>
      <c r="J258" s="83"/>
      <c r="K258" s="85"/>
      <c r="L258" s="104"/>
    </row>
    <row r="259" spans="1:12" s="111" customFormat="1" ht="19.5" customHeight="1">
      <c r="A259" s="18"/>
      <c r="B259" s="115"/>
      <c r="C259" s="67">
        <v>2023</v>
      </c>
      <c r="D259" s="18">
        <v>0</v>
      </c>
      <c r="E259" s="105">
        <v>0</v>
      </c>
      <c r="F259" s="105"/>
      <c r="G259" s="105"/>
      <c r="H259" s="109">
        <v>0</v>
      </c>
      <c r="I259" s="18">
        <v>0</v>
      </c>
      <c r="J259" s="83"/>
      <c r="K259" s="85"/>
      <c r="L259" s="104"/>
    </row>
    <row r="260" spans="1:12" s="111" customFormat="1" ht="19.5" customHeight="1">
      <c r="A260" s="18" t="s">
        <v>137</v>
      </c>
      <c r="B260" s="115" t="s">
        <v>138</v>
      </c>
      <c r="C260" s="67">
        <v>2017</v>
      </c>
      <c r="D260" s="18">
        <f>H260</f>
        <v>0</v>
      </c>
      <c r="E260" s="105">
        <v>0</v>
      </c>
      <c r="F260" s="105"/>
      <c r="G260" s="105"/>
      <c r="H260" s="109">
        <v>0</v>
      </c>
      <c r="I260" s="18">
        <v>0</v>
      </c>
      <c r="J260" s="83"/>
      <c r="K260" s="85"/>
      <c r="L260" s="104"/>
    </row>
    <row r="261" spans="1:12" s="111" customFormat="1" ht="19.5" customHeight="1">
      <c r="A261" s="18"/>
      <c r="B261" s="115"/>
      <c r="C261" s="67">
        <v>2018</v>
      </c>
      <c r="D261" s="18">
        <f>H261+I261</f>
        <v>291.78</v>
      </c>
      <c r="E261" s="105">
        <v>0</v>
      </c>
      <c r="F261" s="105"/>
      <c r="G261" s="105"/>
      <c r="H261" s="109">
        <v>0</v>
      </c>
      <c r="I261" s="18">
        <v>291.78</v>
      </c>
      <c r="J261" s="83"/>
      <c r="K261" s="85" t="s">
        <v>108</v>
      </c>
      <c r="L261" s="104"/>
    </row>
    <row r="262" spans="1:12" s="111" customFormat="1" ht="19.5" customHeight="1">
      <c r="A262" s="18"/>
      <c r="B262" s="115"/>
      <c r="C262" s="67">
        <v>2019</v>
      </c>
      <c r="D262" s="18">
        <f aca="true" t="shared" si="45" ref="D262:D264">H262</f>
        <v>0</v>
      </c>
      <c r="E262" s="105">
        <v>0</v>
      </c>
      <c r="F262" s="105"/>
      <c r="G262" s="105"/>
      <c r="H262" s="109">
        <v>0</v>
      </c>
      <c r="I262" s="18">
        <v>0</v>
      </c>
      <c r="J262" s="83"/>
      <c r="K262" s="85"/>
      <c r="L262" s="104"/>
    </row>
    <row r="263" spans="1:12" s="111" customFormat="1" ht="19.5" customHeight="1">
      <c r="A263" s="18"/>
      <c r="B263" s="115"/>
      <c r="C263" s="67">
        <v>2020</v>
      </c>
      <c r="D263" s="18">
        <f t="shared" si="45"/>
        <v>0</v>
      </c>
      <c r="E263" s="105">
        <v>0</v>
      </c>
      <c r="F263" s="105"/>
      <c r="G263" s="105"/>
      <c r="H263" s="109">
        <v>0</v>
      </c>
      <c r="I263" s="18">
        <v>0</v>
      </c>
      <c r="J263" s="83"/>
      <c r="K263" s="85"/>
      <c r="L263" s="104"/>
    </row>
    <row r="264" spans="1:12" s="111" customFormat="1" ht="19.5" customHeight="1">
      <c r="A264" s="18"/>
      <c r="B264" s="115"/>
      <c r="C264" s="67">
        <v>2021</v>
      </c>
      <c r="D264" s="18">
        <f t="shared" si="45"/>
        <v>0</v>
      </c>
      <c r="E264" s="105">
        <v>0</v>
      </c>
      <c r="F264" s="105"/>
      <c r="G264" s="105"/>
      <c r="H264" s="109">
        <v>0</v>
      </c>
      <c r="I264" s="18">
        <v>0</v>
      </c>
      <c r="J264" s="83"/>
      <c r="K264" s="85"/>
      <c r="L264" s="104"/>
    </row>
    <row r="265" spans="1:12" s="111" customFormat="1" ht="19.5" customHeight="1">
      <c r="A265" s="18"/>
      <c r="B265" s="115"/>
      <c r="C265" s="67">
        <v>2022</v>
      </c>
      <c r="D265" s="18">
        <v>0</v>
      </c>
      <c r="E265" s="105">
        <v>0</v>
      </c>
      <c r="F265" s="105"/>
      <c r="G265" s="105"/>
      <c r="H265" s="109">
        <v>0</v>
      </c>
      <c r="I265" s="18">
        <v>0</v>
      </c>
      <c r="J265" s="83"/>
      <c r="K265" s="85"/>
      <c r="L265" s="104"/>
    </row>
    <row r="266" spans="1:12" s="111" customFormat="1" ht="19.5" customHeight="1">
      <c r="A266" s="18"/>
      <c r="B266" s="115"/>
      <c r="C266" s="67">
        <v>2023</v>
      </c>
      <c r="D266" s="18">
        <v>0</v>
      </c>
      <c r="E266" s="105">
        <v>0</v>
      </c>
      <c r="F266" s="105"/>
      <c r="G266" s="105"/>
      <c r="H266" s="109">
        <v>0</v>
      </c>
      <c r="I266" s="18">
        <v>0</v>
      </c>
      <c r="J266" s="83"/>
      <c r="K266" s="85"/>
      <c r="L266" s="104"/>
    </row>
    <row r="267" spans="1:12" s="111" customFormat="1" ht="19.5" customHeight="1">
      <c r="A267" s="18" t="s">
        <v>139</v>
      </c>
      <c r="B267" s="115" t="s">
        <v>140</v>
      </c>
      <c r="C267" s="67">
        <v>2017</v>
      </c>
      <c r="D267" s="18">
        <f>H267</f>
        <v>0</v>
      </c>
      <c r="E267" s="105">
        <v>0</v>
      </c>
      <c r="F267" s="105"/>
      <c r="G267" s="105"/>
      <c r="H267" s="109">
        <v>0</v>
      </c>
      <c r="I267" s="18">
        <v>0</v>
      </c>
      <c r="J267" s="83"/>
      <c r="K267" s="85"/>
      <c r="L267" s="104"/>
    </row>
    <row r="268" spans="1:12" s="111" customFormat="1" ht="19.5" customHeight="1">
      <c r="A268" s="18"/>
      <c r="B268" s="115"/>
      <c r="C268" s="67">
        <v>2018</v>
      </c>
      <c r="D268" s="18">
        <f>I268</f>
        <v>195.434</v>
      </c>
      <c r="E268" s="105">
        <v>0</v>
      </c>
      <c r="F268" s="105"/>
      <c r="G268" s="105"/>
      <c r="H268" s="109">
        <v>0</v>
      </c>
      <c r="I268" s="18">
        <v>195.434</v>
      </c>
      <c r="J268" s="83"/>
      <c r="K268" s="85" t="s">
        <v>141</v>
      </c>
      <c r="L268" s="104"/>
    </row>
    <row r="269" spans="1:12" s="111" customFormat="1" ht="19.5" customHeight="1">
      <c r="A269" s="18"/>
      <c r="B269" s="115"/>
      <c r="C269" s="67">
        <v>2018</v>
      </c>
      <c r="D269" s="18">
        <f>H269+I269</f>
        <v>537.09719</v>
      </c>
      <c r="E269" s="105">
        <v>0</v>
      </c>
      <c r="F269" s="105"/>
      <c r="G269" s="105"/>
      <c r="H269" s="109">
        <v>0</v>
      </c>
      <c r="I269" s="18">
        <f>537.09719</f>
        <v>537.09719</v>
      </c>
      <c r="J269" s="83"/>
      <c r="K269" s="112" t="s">
        <v>136</v>
      </c>
      <c r="L269" s="104"/>
    </row>
    <row r="270" spans="1:12" s="111" customFormat="1" ht="19.5" customHeight="1">
      <c r="A270" s="18"/>
      <c r="B270" s="115"/>
      <c r="C270" s="67">
        <v>2019</v>
      </c>
      <c r="D270" s="18">
        <f aca="true" t="shared" si="46" ref="D270:D271">H270</f>
        <v>0</v>
      </c>
      <c r="E270" s="105">
        <v>0</v>
      </c>
      <c r="F270" s="105"/>
      <c r="G270" s="105"/>
      <c r="H270" s="109">
        <v>0</v>
      </c>
      <c r="I270" s="18">
        <v>0</v>
      </c>
      <c r="J270" s="83"/>
      <c r="K270" s="85"/>
      <c r="L270" s="104"/>
    </row>
    <row r="271" spans="1:12" s="111" customFormat="1" ht="19.5" customHeight="1">
      <c r="A271" s="18"/>
      <c r="B271" s="115"/>
      <c r="C271" s="67">
        <v>2020</v>
      </c>
      <c r="D271" s="18">
        <f t="shared" si="46"/>
        <v>0</v>
      </c>
      <c r="E271" s="105">
        <v>0</v>
      </c>
      <c r="F271" s="105"/>
      <c r="G271" s="105"/>
      <c r="H271" s="109">
        <v>0</v>
      </c>
      <c r="I271" s="18">
        <v>0</v>
      </c>
      <c r="J271" s="83"/>
      <c r="K271" s="85"/>
      <c r="L271" s="104"/>
    </row>
    <row r="272" spans="1:12" s="111" customFormat="1" ht="19.5" customHeight="1">
      <c r="A272" s="18"/>
      <c r="B272" s="115"/>
      <c r="C272" s="67">
        <v>2021</v>
      </c>
      <c r="D272" s="18">
        <v>0</v>
      </c>
      <c r="E272" s="105">
        <v>0</v>
      </c>
      <c r="F272" s="105"/>
      <c r="G272" s="105"/>
      <c r="H272" s="109">
        <v>0</v>
      </c>
      <c r="I272" s="18">
        <v>0</v>
      </c>
      <c r="J272" s="83"/>
      <c r="K272" s="85"/>
      <c r="L272" s="104"/>
    </row>
    <row r="273" spans="1:12" s="111" customFormat="1" ht="19.5" customHeight="1">
      <c r="A273" s="18"/>
      <c r="B273" s="115"/>
      <c r="C273" s="67">
        <v>2022</v>
      </c>
      <c r="D273" s="18">
        <v>0</v>
      </c>
      <c r="E273" s="105">
        <v>0</v>
      </c>
      <c r="F273" s="105"/>
      <c r="G273" s="105"/>
      <c r="H273" s="109">
        <v>0</v>
      </c>
      <c r="I273" s="18">
        <v>0</v>
      </c>
      <c r="J273" s="83"/>
      <c r="K273" s="85"/>
      <c r="L273" s="104"/>
    </row>
    <row r="274" spans="1:12" s="111" customFormat="1" ht="19.5" customHeight="1">
      <c r="A274" s="18"/>
      <c r="B274" s="115"/>
      <c r="C274" s="67">
        <v>2023</v>
      </c>
      <c r="D274" s="18">
        <v>0</v>
      </c>
      <c r="E274" s="105">
        <v>0</v>
      </c>
      <c r="F274" s="105"/>
      <c r="G274" s="105"/>
      <c r="H274" s="109">
        <v>0</v>
      </c>
      <c r="I274" s="18">
        <v>0</v>
      </c>
      <c r="J274" s="83"/>
      <c r="K274" s="85"/>
      <c r="L274" s="104"/>
    </row>
    <row r="275" spans="1:12" s="111" customFormat="1" ht="19.5" customHeight="1">
      <c r="A275" s="18" t="s">
        <v>142</v>
      </c>
      <c r="B275" s="85" t="s">
        <v>143</v>
      </c>
      <c r="C275" s="67">
        <v>2017</v>
      </c>
      <c r="D275" s="18">
        <v>0</v>
      </c>
      <c r="E275" s="105">
        <v>0</v>
      </c>
      <c r="F275" s="105"/>
      <c r="G275" s="105"/>
      <c r="H275" s="109">
        <v>0</v>
      </c>
      <c r="I275" s="18">
        <v>0</v>
      </c>
      <c r="J275" s="83"/>
      <c r="K275" s="85"/>
      <c r="L275" s="104"/>
    </row>
    <row r="276" spans="1:12" s="111" customFormat="1" ht="19.5" customHeight="1">
      <c r="A276" s="18"/>
      <c r="B276" s="85"/>
      <c r="C276" s="67">
        <v>2018</v>
      </c>
      <c r="D276" s="18">
        <f>I276</f>
        <v>515.42</v>
      </c>
      <c r="E276" s="105">
        <v>0</v>
      </c>
      <c r="F276" s="105"/>
      <c r="G276" s="105"/>
      <c r="H276" s="109">
        <v>0</v>
      </c>
      <c r="I276" s="18">
        <f>515.5-0.08</f>
        <v>515.42</v>
      </c>
      <c r="J276" s="83"/>
      <c r="K276" s="85" t="s">
        <v>144</v>
      </c>
      <c r="L276" s="104"/>
    </row>
    <row r="277" spans="1:12" s="111" customFormat="1" ht="19.5" customHeight="1">
      <c r="A277" s="18"/>
      <c r="B277" s="85"/>
      <c r="C277" s="67">
        <v>2019</v>
      </c>
      <c r="D277" s="18">
        <v>0</v>
      </c>
      <c r="E277" s="105">
        <v>0</v>
      </c>
      <c r="F277" s="105"/>
      <c r="G277" s="105"/>
      <c r="H277" s="109">
        <v>0</v>
      </c>
      <c r="I277" s="18">
        <v>0</v>
      </c>
      <c r="J277" s="83"/>
      <c r="K277" s="85"/>
      <c r="L277" s="104"/>
    </row>
    <row r="278" spans="1:12" s="111" customFormat="1" ht="19.5" customHeight="1">
      <c r="A278" s="18"/>
      <c r="B278" s="85"/>
      <c r="C278" s="67">
        <v>2020</v>
      </c>
      <c r="D278" s="18">
        <v>0</v>
      </c>
      <c r="E278" s="105">
        <v>0</v>
      </c>
      <c r="F278" s="105"/>
      <c r="G278" s="105"/>
      <c r="H278" s="109">
        <v>0</v>
      </c>
      <c r="I278" s="18">
        <v>0</v>
      </c>
      <c r="J278" s="83"/>
      <c r="K278" s="85"/>
      <c r="L278" s="104"/>
    </row>
    <row r="279" spans="1:12" s="111" customFormat="1" ht="19.5" customHeight="1">
      <c r="A279" s="18"/>
      <c r="B279" s="85"/>
      <c r="C279" s="67">
        <v>2021</v>
      </c>
      <c r="D279" s="18">
        <v>0</v>
      </c>
      <c r="E279" s="105">
        <v>0</v>
      </c>
      <c r="F279" s="105"/>
      <c r="G279" s="105"/>
      <c r="H279" s="109">
        <v>0</v>
      </c>
      <c r="I279" s="18">
        <v>0</v>
      </c>
      <c r="J279" s="83"/>
      <c r="K279" s="85"/>
      <c r="L279" s="104"/>
    </row>
    <row r="280" spans="1:12" s="111" customFormat="1" ht="19.5" customHeight="1">
      <c r="A280" s="18"/>
      <c r="B280" s="85"/>
      <c r="C280" s="67">
        <v>2022</v>
      </c>
      <c r="D280" s="18">
        <v>0</v>
      </c>
      <c r="E280" s="105">
        <v>0</v>
      </c>
      <c r="F280" s="105"/>
      <c r="G280" s="105"/>
      <c r="H280" s="109">
        <v>0</v>
      </c>
      <c r="I280" s="18">
        <v>0</v>
      </c>
      <c r="J280" s="83"/>
      <c r="K280" s="85"/>
      <c r="L280" s="104"/>
    </row>
    <row r="281" spans="1:12" s="111" customFormat="1" ht="19.5" customHeight="1">
      <c r="A281" s="18"/>
      <c r="B281" s="85"/>
      <c r="C281" s="67">
        <v>2023</v>
      </c>
      <c r="D281" s="18">
        <v>0</v>
      </c>
      <c r="E281" s="105">
        <v>0</v>
      </c>
      <c r="F281" s="105"/>
      <c r="G281" s="105"/>
      <c r="H281" s="109">
        <v>0</v>
      </c>
      <c r="I281" s="18">
        <v>0</v>
      </c>
      <c r="J281" s="83"/>
      <c r="K281" s="85"/>
      <c r="L281" s="104"/>
    </row>
    <row r="282" spans="1:12" s="111" customFormat="1" ht="19.5" customHeight="1">
      <c r="A282" s="18" t="s">
        <v>145</v>
      </c>
      <c r="B282" s="85" t="s">
        <v>146</v>
      </c>
      <c r="C282" s="67">
        <v>2017</v>
      </c>
      <c r="D282" s="18">
        <v>0</v>
      </c>
      <c r="E282" s="105">
        <v>0</v>
      </c>
      <c r="F282" s="105"/>
      <c r="G282" s="105"/>
      <c r="H282" s="109">
        <v>0</v>
      </c>
      <c r="I282" s="18">
        <v>0</v>
      </c>
      <c r="J282" s="83"/>
      <c r="K282" s="85"/>
      <c r="L282" s="104"/>
    </row>
    <row r="283" spans="1:12" s="111" customFormat="1" ht="19.5" customHeight="1">
      <c r="A283" s="18"/>
      <c r="B283" s="85"/>
      <c r="C283" s="67">
        <v>2018</v>
      </c>
      <c r="D283" s="18">
        <f>I283</f>
        <v>135.299</v>
      </c>
      <c r="E283" s="105">
        <v>0</v>
      </c>
      <c r="F283" s="105"/>
      <c r="G283" s="105"/>
      <c r="H283" s="109">
        <v>0</v>
      </c>
      <c r="I283" s="18">
        <v>135.299</v>
      </c>
      <c r="J283" s="83"/>
      <c r="K283" s="85" t="s">
        <v>108</v>
      </c>
      <c r="L283" s="104"/>
    </row>
    <row r="284" spans="1:12" s="111" customFormat="1" ht="19.5" customHeight="1">
      <c r="A284" s="18"/>
      <c r="B284" s="85"/>
      <c r="C284" s="67">
        <v>2019</v>
      </c>
      <c r="D284" s="18">
        <v>0</v>
      </c>
      <c r="E284" s="105">
        <v>0</v>
      </c>
      <c r="F284" s="105"/>
      <c r="G284" s="105"/>
      <c r="H284" s="109">
        <v>0</v>
      </c>
      <c r="I284" s="18">
        <v>0</v>
      </c>
      <c r="J284" s="83"/>
      <c r="K284" s="85"/>
      <c r="L284" s="104"/>
    </row>
    <row r="285" spans="1:12" s="111" customFormat="1" ht="19.5" customHeight="1">
      <c r="A285" s="18"/>
      <c r="B285" s="85"/>
      <c r="C285" s="67">
        <v>2020</v>
      </c>
      <c r="D285" s="18">
        <v>0</v>
      </c>
      <c r="E285" s="105">
        <v>0</v>
      </c>
      <c r="F285" s="105"/>
      <c r="G285" s="105"/>
      <c r="H285" s="109">
        <v>0</v>
      </c>
      <c r="I285" s="18">
        <v>0</v>
      </c>
      <c r="J285" s="83"/>
      <c r="K285" s="85"/>
      <c r="L285" s="104"/>
    </row>
    <row r="286" spans="1:12" s="111" customFormat="1" ht="19.5" customHeight="1">
      <c r="A286" s="18"/>
      <c r="B286" s="85"/>
      <c r="C286" s="67">
        <v>2021</v>
      </c>
      <c r="D286" s="18">
        <v>0</v>
      </c>
      <c r="E286" s="105">
        <v>0</v>
      </c>
      <c r="F286" s="105"/>
      <c r="G286" s="105"/>
      <c r="H286" s="109">
        <v>0</v>
      </c>
      <c r="I286" s="18">
        <v>0</v>
      </c>
      <c r="J286" s="83"/>
      <c r="K286" s="85"/>
      <c r="L286" s="104"/>
    </row>
    <row r="287" spans="1:12" s="111" customFormat="1" ht="19.5" customHeight="1">
      <c r="A287" s="18"/>
      <c r="B287" s="85"/>
      <c r="C287" s="67">
        <v>2022</v>
      </c>
      <c r="D287" s="18">
        <v>0</v>
      </c>
      <c r="E287" s="105">
        <v>0</v>
      </c>
      <c r="F287" s="105"/>
      <c r="G287" s="105"/>
      <c r="H287" s="109">
        <v>0</v>
      </c>
      <c r="I287" s="18">
        <v>0</v>
      </c>
      <c r="J287" s="83"/>
      <c r="K287" s="85"/>
      <c r="L287" s="104"/>
    </row>
    <row r="288" spans="1:12" s="111" customFormat="1" ht="19.5" customHeight="1">
      <c r="A288" s="18"/>
      <c r="B288" s="85"/>
      <c r="C288" s="67">
        <v>2023</v>
      </c>
      <c r="D288" s="18">
        <v>0</v>
      </c>
      <c r="E288" s="105">
        <v>0</v>
      </c>
      <c r="F288" s="105"/>
      <c r="G288" s="105"/>
      <c r="H288" s="109">
        <v>0</v>
      </c>
      <c r="I288" s="18">
        <v>0</v>
      </c>
      <c r="J288" s="83"/>
      <c r="K288" s="85"/>
      <c r="L288" s="104"/>
    </row>
    <row r="289" spans="1:12" s="111" customFormat="1" ht="19.5" customHeight="1">
      <c r="A289" s="18" t="s">
        <v>147</v>
      </c>
      <c r="B289" s="85" t="s">
        <v>148</v>
      </c>
      <c r="C289" s="67">
        <v>2017</v>
      </c>
      <c r="D289" s="18">
        <v>0</v>
      </c>
      <c r="E289" s="105">
        <v>0</v>
      </c>
      <c r="F289" s="105"/>
      <c r="G289" s="105"/>
      <c r="H289" s="109">
        <v>0</v>
      </c>
      <c r="I289" s="18">
        <v>0</v>
      </c>
      <c r="J289" s="83"/>
      <c r="K289" s="85"/>
      <c r="L289" s="104"/>
    </row>
    <row r="290" spans="1:12" s="111" customFormat="1" ht="19.5" customHeight="1">
      <c r="A290" s="18"/>
      <c r="B290" s="85"/>
      <c r="C290" s="67">
        <v>2018</v>
      </c>
      <c r="D290" s="18">
        <f>I290</f>
        <v>99.792</v>
      </c>
      <c r="E290" s="105">
        <v>0</v>
      </c>
      <c r="F290" s="105"/>
      <c r="G290" s="105"/>
      <c r="H290" s="109">
        <v>0</v>
      </c>
      <c r="I290" s="18">
        <f>112-0.208-12</f>
        <v>99.792</v>
      </c>
      <c r="J290" s="83"/>
      <c r="K290" s="85" t="s">
        <v>134</v>
      </c>
      <c r="L290" s="104"/>
    </row>
    <row r="291" spans="1:12" s="111" customFormat="1" ht="19.5" customHeight="1">
      <c r="A291" s="18"/>
      <c r="B291" s="85"/>
      <c r="C291" s="67">
        <v>2019</v>
      </c>
      <c r="D291" s="18">
        <v>0</v>
      </c>
      <c r="E291" s="105">
        <v>0</v>
      </c>
      <c r="F291" s="105"/>
      <c r="G291" s="105"/>
      <c r="H291" s="109">
        <v>0</v>
      </c>
      <c r="I291" s="18">
        <v>0</v>
      </c>
      <c r="J291" s="83"/>
      <c r="K291" s="85"/>
      <c r="L291" s="104"/>
    </row>
    <row r="292" spans="1:12" s="111" customFormat="1" ht="19.5" customHeight="1">
      <c r="A292" s="18"/>
      <c r="B292" s="85"/>
      <c r="C292" s="67">
        <v>2020</v>
      </c>
      <c r="D292" s="18">
        <v>0</v>
      </c>
      <c r="E292" s="105">
        <v>0</v>
      </c>
      <c r="F292" s="105"/>
      <c r="G292" s="105"/>
      <c r="H292" s="109">
        <v>0</v>
      </c>
      <c r="I292" s="18">
        <v>0</v>
      </c>
      <c r="J292" s="83"/>
      <c r="K292" s="85"/>
      <c r="L292" s="104"/>
    </row>
    <row r="293" spans="1:12" s="111" customFormat="1" ht="19.5" customHeight="1">
      <c r="A293" s="18"/>
      <c r="B293" s="85"/>
      <c r="C293" s="67">
        <v>2021</v>
      </c>
      <c r="D293" s="18">
        <v>0</v>
      </c>
      <c r="E293" s="105">
        <v>0</v>
      </c>
      <c r="F293" s="105"/>
      <c r="G293" s="105"/>
      <c r="H293" s="109">
        <v>0</v>
      </c>
      <c r="I293" s="18">
        <v>0</v>
      </c>
      <c r="J293" s="83"/>
      <c r="K293" s="85"/>
      <c r="L293" s="104"/>
    </row>
    <row r="294" spans="1:12" s="111" customFormat="1" ht="19.5" customHeight="1">
      <c r="A294" s="18"/>
      <c r="B294" s="85"/>
      <c r="C294" s="67">
        <v>2022</v>
      </c>
      <c r="D294" s="18">
        <v>0</v>
      </c>
      <c r="E294" s="105">
        <v>0</v>
      </c>
      <c r="F294" s="105"/>
      <c r="G294" s="105"/>
      <c r="H294" s="109">
        <v>0</v>
      </c>
      <c r="I294" s="18">
        <v>0</v>
      </c>
      <c r="J294" s="83"/>
      <c r="K294" s="85"/>
      <c r="L294" s="104"/>
    </row>
    <row r="295" spans="1:12" s="111" customFormat="1" ht="19.5" customHeight="1">
      <c r="A295" s="18"/>
      <c r="B295" s="85"/>
      <c r="C295" s="67">
        <v>2023</v>
      </c>
      <c r="D295" s="18">
        <v>0</v>
      </c>
      <c r="E295" s="105">
        <v>0</v>
      </c>
      <c r="F295" s="105"/>
      <c r="G295" s="105"/>
      <c r="H295" s="109">
        <v>0</v>
      </c>
      <c r="I295" s="18">
        <v>0</v>
      </c>
      <c r="J295" s="83"/>
      <c r="K295" s="85"/>
      <c r="L295" s="104"/>
    </row>
    <row r="296" spans="1:12" s="111" customFormat="1" ht="19.5" customHeight="1">
      <c r="A296" s="18" t="s">
        <v>149</v>
      </c>
      <c r="B296" s="85" t="s">
        <v>150</v>
      </c>
      <c r="C296" s="67">
        <v>2017</v>
      </c>
      <c r="D296" s="18">
        <v>0</v>
      </c>
      <c r="E296" s="105">
        <v>0</v>
      </c>
      <c r="F296" s="105"/>
      <c r="G296" s="105"/>
      <c r="H296" s="109">
        <v>0</v>
      </c>
      <c r="I296" s="18">
        <v>0</v>
      </c>
      <c r="J296" s="83"/>
      <c r="K296" s="85"/>
      <c r="L296" s="104"/>
    </row>
    <row r="297" spans="1:12" s="111" customFormat="1" ht="19.5" customHeight="1">
      <c r="A297" s="18"/>
      <c r="B297" s="85"/>
      <c r="C297" s="67">
        <v>2018</v>
      </c>
      <c r="D297" s="18">
        <f>I297</f>
        <v>210.463</v>
      </c>
      <c r="E297" s="105">
        <v>0</v>
      </c>
      <c r="F297" s="105"/>
      <c r="G297" s="105"/>
      <c r="H297" s="109">
        <v>0</v>
      </c>
      <c r="I297" s="18">
        <f>310-67.537-32</f>
        <v>210.463</v>
      </c>
      <c r="J297" s="83"/>
      <c r="K297" s="85" t="s">
        <v>135</v>
      </c>
      <c r="L297" s="104"/>
    </row>
    <row r="298" spans="1:12" s="111" customFormat="1" ht="19.5" customHeight="1">
      <c r="A298" s="18"/>
      <c r="B298" s="85"/>
      <c r="C298" s="67">
        <v>2019</v>
      </c>
      <c r="D298" s="18">
        <v>0</v>
      </c>
      <c r="E298" s="105">
        <v>0</v>
      </c>
      <c r="F298" s="105"/>
      <c r="G298" s="105"/>
      <c r="H298" s="109">
        <v>0</v>
      </c>
      <c r="I298" s="18">
        <v>0</v>
      </c>
      <c r="J298" s="83"/>
      <c r="K298" s="85"/>
      <c r="L298" s="104"/>
    </row>
    <row r="299" spans="1:12" s="111" customFormat="1" ht="19.5" customHeight="1">
      <c r="A299" s="18"/>
      <c r="B299" s="85"/>
      <c r="C299" s="67">
        <v>2020</v>
      </c>
      <c r="D299" s="18">
        <v>0</v>
      </c>
      <c r="E299" s="105">
        <v>0</v>
      </c>
      <c r="F299" s="105"/>
      <c r="G299" s="105"/>
      <c r="H299" s="109">
        <v>0</v>
      </c>
      <c r="I299" s="18">
        <v>0</v>
      </c>
      <c r="J299" s="83"/>
      <c r="K299" s="85"/>
      <c r="L299" s="104"/>
    </row>
    <row r="300" spans="1:12" s="111" customFormat="1" ht="19.5" customHeight="1">
      <c r="A300" s="18"/>
      <c r="B300" s="85"/>
      <c r="C300" s="67">
        <v>2021</v>
      </c>
      <c r="D300" s="18">
        <v>0</v>
      </c>
      <c r="E300" s="105">
        <v>0</v>
      </c>
      <c r="F300" s="105"/>
      <c r="G300" s="105"/>
      <c r="H300" s="109">
        <v>0</v>
      </c>
      <c r="I300" s="18">
        <v>0</v>
      </c>
      <c r="J300" s="83"/>
      <c r="K300" s="85"/>
      <c r="L300" s="104"/>
    </row>
    <row r="301" spans="1:12" s="111" customFormat="1" ht="19.5" customHeight="1">
      <c r="A301" s="18"/>
      <c r="B301" s="85"/>
      <c r="C301" s="67">
        <v>2022</v>
      </c>
      <c r="D301" s="18">
        <v>0</v>
      </c>
      <c r="E301" s="105">
        <v>0</v>
      </c>
      <c r="F301" s="105"/>
      <c r="G301" s="105"/>
      <c r="H301" s="109">
        <v>0</v>
      </c>
      <c r="I301" s="18">
        <v>0</v>
      </c>
      <c r="J301" s="83"/>
      <c r="K301" s="85"/>
      <c r="L301" s="104"/>
    </row>
    <row r="302" spans="1:12" s="111" customFormat="1" ht="19.5" customHeight="1">
      <c r="A302" s="18"/>
      <c r="B302" s="85"/>
      <c r="C302" s="67">
        <v>2023</v>
      </c>
      <c r="D302" s="18">
        <v>0</v>
      </c>
      <c r="E302" s="105">
        <v>0</v>
      </c>
      <c r="F302" s="105"/>
      <c r="G302" s="105"/>
      <c r="H302" s="109">
        <v>0</v>
      </c>
      <c r="I302" s="18">
        <v>0</v>
      </c>
      <c r="J302" s="83"/>
      <c r="K302" s="85"/>
      <c r="L302" s="104"/>
    </row>
    <row r="303" spans="1:12" s="111" customFormat="1" ht="19.5" customHeight="1">
      <c r="A303" s="18" t="s">
        <v>151</v>
      </c>
      <c r="B303" s="85" t="s">
        <v>152</v>
      </c>
      <c r="C303" s="67">
        <v>2017</v>
      </c>
      <c r="D303" s="18">
        <v>0</v>
      </c>
      <c r="E303" s="105">
        <v>0</v>
      </c>
      <c r="F303" s="105"/>
      <c r="G303" s="105"/>
      <c r="H303" s="109">
        <v>0</v>
      </c>
      <c r="I303" s="18">
        <v>0</v>
      </c>
      <c r="J303" s="83"/>
      <c r="K303" s="18" t="s">
        <v>153</v>
      </c>
      <c r="L303" s="104"/>
    </row>
    <row r="304" spans="1:12" s="111" customFormat="1" ht="19.5" customHeight="1">
      <c r="A304" s="18"/>
      <c r="B304" s="85"/>
      <c r="C304" s="67">
        <v>2018</v>
      </c>
      <c r="D304" s="18">
        <f>I304</f>
        <v>160</v>
      </c>
      <c r="E304" s="105">
        <v>0</v>
      </c>
      <c r="F304" s="105"/>
      <c r="G304" s="105"/>
      <c r="H304" s="109">
        <v>0</v>
      </c>
      <c r="I304" s="18">
        <v>160</v>
      </c>
      <c r="J304" s="83"/>
      <c r="K304" s="18"/>
      <c r="L304" s="104"/>
    </row>
    <row r="305" spans="1:12" s="111" customFormat="1" ht="19.5" customHeight="1">
      <c r="A305" s="18"/>
      <c r="B305" s="85"/>
      <c r="C305" s="67">
        <v>2019</v>
      </c>
      <c r="D305" s="18">
        <v>0</v>
      </c>
      <c r="E305" s="105">
        <v>0</v>
      </c>
      <c r="F305" s="105"/>
      <c r="G305" s="105"/>
      <c r="H305" s="109">
        <v>0</v>
      </c>
      <c r="I305" s="18">
        <v>0</v>
      </c>
      <c r="J305" s="83"/>
      <c r="K305" s="18"/>
      <c r="L305" s="104"/>
    </row>
    <row r="306" spans="1:12" s="111" customFormat="1" ht="19.5" customHeight="1">
      <c r="A306" s="18"/>
      <c r="B306" s="85"/>
      <c r="C306" s="67">
        <v>2020</v>
      </c>
      <c r="D306" s="18">
        <v>0</v>
      </c>
      <c r="E306" s="105">
        <v>0</v>
      </c>
      <c r="F306" s="105"/>
      <c r="G306" s="105"/>
      <c r="H306" s="109">
        <v>0</v>
      </c>
      <c r="I306" s="18">
        <v>0</v>
      </c>
      <c r="J306" s="83"/>
      <c r="K306" s="18"/>
      <c r="L306" s="104"/>
    </row>
    <row r="307" spans="1:12" s="111" customFormat="1" ht="19.5" customHeight="1">
      <c r="A307" s="18"/>
      <c r="B307" s="85"/>
      <c r="C307" s="67">
        <v>2021</v>
      </c>
      <c r="D307" s="18">
        <v>0</v>
      </c>
      <c r="E307" s="105">
        <v>0</v>
      </c>
      <c r="F307" s="105"/>
      <c r="G307" s="105"/>
      <c r="H307" s="109">
        <v>0</v>
      </c>
      <c r="I307" s="18">
        <v>0</v>
      </c>
      <c r="J307" s="83"/>
      <c r="K307" s="18"/>
      <c r="L307" s="104"/>
    </row>
    <row r="308" spans="1:12" s="111" customFormat="1" ht="19.5" customHeight="1">
      <c r="A308" s="18"/>
      <c r="B308" s="85"/>
      <c r="C308" s="67">
        <v>2022</v>
      </c>
      <c r="D308" s="18">
        <v>0</v>
      </c>
      <c r="E308" s="105">
        <v>0</v>
      </c>
      <c r="F308" s="105"/>
      <c r="G308" s="105"/>
      <c r="H308" s="109">
        <v>0</v>
      </c>
      <c r="I308" s="18">
        <v>0</v>
      </c>
      <c r="J308" s="83"/>
      <c r="K308" s="18"/>
      <c r="L308" s="104"/>
    </row>
    <row r="309" spans="1:12" s="111" customFormat="1" ht="19.5" customHeight="1">
      <c r="A309" s="18"/>
      <c r="B309" s="85"/>
      <c r="C309" s="67">
        <v>2023</v>
      </c>
      <c r="D309" s="18">
        <v>0</v>
      </c>
      <c r="E309" s="105">
        <v>0</v>
      </c>
      <c r="F309" s="105"/>
      <c r="G309" s="105"/>
      <c r="H309" s="109">
        <v>0</v>
      </c>
      <c r="I309" s="18">
        <v>0</v>
      </c>
      <c r="J309" s="83"/>
      <c r="K309" s="18"/>
      <c r="L309" s="104"/>
    </row>
    <row r="310" spans="1:12" s="111" customFormat="1" ht="19.5" customHeight="1">
      <c r="A310" s="18" t="s">
        <v>154</v>
      </c>
      <c r="B310" s="85" t="s">
        <v>155</v>
      </c>
      <c r="C310" s="67">
        <v>2017</v>
      </c>
      <c r="D310" s="18">
        <v>0</v>
      </c>
      <c r="E310" s="105">
        <v>0</v>
      </c>
      <c r="F310" s="105"/>
      <c r="G310" s="105"/>
      <c r="H310" s="109">
        <v>0</v>
      </c>
      <c r="I310" s="18">
        <v>0</v>
      </c>
      <c r="J310" s="83"/>
      <c r="K310" s="85"/>
      <c r="L310" s="104"/>
    </row>
    <row r="311" spans="1:12" s="111" customFormat="1" ht="19.5" customHeight="1">
      <c r="A311" s="18"/>
      <c r="B311" s="85"/>
      <c r="C311" s="67">
        <v>2018</v>
      </c>
      <c r="D311" s="18">
        <f>I311</f>
        <v>245.451</v>
      </c>
      <c r="E311" s="105">
        <v>0</v>
      </c>
      <c r="F311" s="105"/>
      <c r="G311" s="105"/>
      <c r="H311" s="109">
        <v>0</v>
      </c>
      <c r="I311" s="18">
        <f>255.701-10.25</f>
        <v>245.451</v>
      </c>
      <c r="J311" s="83"/>
      <c r="K311" s="85" t="s">
        <v>144</v>
      </c>
      <c r="L311" s="104"/>
    </row>
    <row r="312" spans="1:12" s="111" customFormat="1" ht="19.5" customHeight="1">
      <c r="A312" s="18"/>
      <c r="B312" s="85"/>
      <c r="C312" s="67">
        <v>2019</v>
      </c>
      <c r="D312" s="18">
        <v>0</v>
      </c>
      <c r="E312" s="105">
        <v>0</v>
      </c>
      <c r="F312" s="105"/>
      <c r="G312" s="105"/>
      <c r="H312" s="109">
        <v>0</v>
      </c>
      <c r="I312" s="18">
        <v>0</v>
      </c>
      <c r="J312" s="83"/>
      <c r="K312" s="85"/>
      <c r="L312" s="104"/>
    </row>
    <row r="313" spans="1:12" s="111" customFormat="1" ht="19.5" customHeight="1">
      <c r="A313" s="18"/>
      <c r="B313" s="85"/>
      <c r="C313" s="67">
        <v>2020</v>
      </c>
      <c r="D313" s="18">
        <v>0</v>
      </c>
      <c r="E313" s="105">
        <v>0</v>
      </c>
      <c r="F313" s="105"/>
      <c r="G313" s="105"/>
      <c r="H313" s="109">
        <v>0</v>
      </c>
      <c r="I313" s="18">
        <v>0</v>
      </c>
      <c r="J313" s="83"/>
      <c r="K313" s="85"/>
      <c r="L313" s="104"/>
    </row>
    <row r="314" spans="1:12" s="111" customFormat="1" ht="19.5" customHeight="1">
      <c r="A314" s="18"/>
      <c r="B314" s="85"/>
      <c r="C314" s="67">
        <v>2021</v>
      </c>
      <c r="D314" s="18">
        <v>0</v>
      </c>
      <c r="E314" s="105">
        <v>0</v>
      </c>
      <c r="F314" s="105"/>
      <c r="G314" s="105"/>
      <c r="H314" s="109">
        <v>0</v>
      </c>
      <c r="I314" s="18">
        <v>0</v>
      </c>
      <c r="J314" s="83"/>
      <c r="K314" s="85"/>
      <c r="L314" s="104"/>
    </row>
    <row r="315" spans="1:12" s="111" customFormat="1" ht="19.5" customHeight="1">
      <c r="A315" s="18"/>
      <c r="B315" s="85"/>
      <c r="C315" s="67">
        <v>2022</v>
      </c>
      <c r="D315" s="18">
        <v>0</v>
      </c>
      <c r="E315" s="105">
        <v>0</v>
      </c>
      <c r="F315" s="105"/>
      <c r="G315" s="105"/>
      <c r="H315" s="109">
        <v>0</v>
      </c>
      <c r="I315" s="18">
        <v>0</v>
      </c>
      <c r="J315" s="83"/>
      <c r="K315" s="85"/>
      <c r="L315" s="104"/>
    </row>
    <row r="316" spans="1:12" s="111" customFormat="1" ht="19.5" customHeight="1">
      <c r="A316" s="18"/>
      <c r="B316" s="85"/>
      <c r="C316" s="67">
        <v>2023</v>
      </c>
      <c r="D316" s="18">
        <v>0</v>
      </c>
      <c r="E316" s="105">
        <v>0</v>
      </c>
      <c r="F316" s="105"/>
      <c r="G316" s="105"/>
      <c r="H316" s="109">
        <v>0</v>
      </c>
      <c r="I316" s="18">
        <v>0</v>
      </c>
      <c r="J316" s="83"/>
      <c r="K316" s="85"/>
      <c r="L316" s="104"/>
    </row>
    <row r="317" spans="1:12" s="111" customFormat="1" ht="19.5" customHeight="1">
      <c r="A317" s="18" t="s">
        <v>156</v>
      </c>
      <c r="B317" s="85" t="s">
        <v>157</v>
      </c>
      <c r="C317" s="67">
        <v>2017</v>
      </c>
      <c r="D317" s="18">
        <v>0</v>
      </c>
      <c r="E317" s="105">
        <v>0</v>
      </c>
      <c r="F317" s="105"/>
      <c r="G317" s="105"/>
      <c r="H317" s="109">
        <v>0</v>
      </c>
      <c r="I317" s="18">
        <v>0</v>
      </c>
      <c r="J317" s="83"/>
      <c r="K317" s="85"/>
      <c r="L317" s="104"/>
    </row>
    <row r="318" spans="1:12" s="111" customFormat="1" ht="19.5" customHeight="1">
      <c r="A318" s="18"/>
      <c r="B318" s="85"/>
      <c r="C318" s="67">
        <v>2018</v>
      </c>
      <c r="D318" s="18">
        <f>I318</f>
        <v>468.108</v>
      </c>
      <c r="E318" s="105">
        <v>0</v>
      </c>
      <c r="F318" s="105"/>
      <c r="G318" s="105"/>
      <c r="H318" s="109">
        <v>0</v>
      </c>
      <c r="I318" s="18">
        <f>58.48+10.428+399.2</f>
        <v>468.108</v>
      </c>
      <c r="J318" s="83"/>
      <c r="K318" s="85" t="s">
        <v>141</v>
      </c>
      <c r="L318" s="104"/>
    </row>
    <row r="319" spans="1:12" s="111" customFormat="1" ht="19.5" customHeight="1">
      <c r="A319" s="18"/>
      <c r="B319" s="85"/>
      <c r="C319" s="67">
        <v>2019</v>
      </c>
      <c r="D319" s="18">
        <v>0</v>
      </c>
      <c r="E319" s="105">
        <v>0</v>
      </c>
      <c r="F319" s="105"/>
      <c r="G319" s="105"/>
      <c r="H319" s="109">
        <v>0</v>
      </c>
      <c r="I319" s="18">
        <v>0</v>
      </c>
      <c r="J319" s="83"/>
      <c r="K319" s="85"/>
      <c r="L319" s="104"/>
    </row>
    <row r="320" spans="1:12" s="111" customFormat="1" ht="19.5" customHeight="1">
      <c r="A320" s="18"/>
      <c r="B320" s="85"/>
      <c r="C320" s="67">
        <v>2020</v>
      </c>
      <c r="D320" s="18">
        <v>0</v>
      </c>
      <c r="E320" s="105">
        <v>0</v>
      </c>
      <c r="F320" s="105"/>
      <c r="G320" s="105"/>
      <c r="H320" s="109">
        <v>0</v>
      </c>
      <c r="I320" s="18">
        <v>0</v>
      </c>
      <c r="J320" s="83"/>
      <c r="K320" s="85"/>
      <c r="L320" s="104"/>
    </row>
    <row r="321" spans="1:12" s="111" customFormat="1" ht="19.5" customHeight="1">
      <c r="A321" s="18"/>
      <c r="B321" s="85"/>
      <c r="C321" s="67">
        <v>2021</v>
      </c>
      <c r="D321" s="18">
        <v>0</v>
      </c>
      <c r="E321" s="105">
        <v>0</v>
      </c>
      <c r="F321" s="105"/>
      <c r="G321" s="105"/>
      <c r="H321" s="109">
        <v>0</v>
      </c>
      <c r="I321" s="18">
        <v>0</v>
      </c>
      <c r="J321" s="83"/>
      <c r="K321" s="85"/>
      <c r="L321" s="104"/>
    </row>
    <row r="322" spans="1:12" s="111" customFormat="1" ht="19.5" customHeight="1">
      <c r="A322" s="18"/>
      <c r="B322" s="85"/>
      <c r="C322" s="67">
        <v>2022</v>
      </c>
      <c r="D322" s="18">
        <v>0</v>
      </c>
      <c r="E322" s="105">
        <v>0</v>
      </c>
      <c r="F322" s="105"/>
      <c r="G322" s="105"/>
      <c r="H322" s="109">
        <v>0</v>
      </c>
      <c r="I322" s="18">
        <v>0</v>
      </c>
      <c r="J322" s="83"/>
      <c r="K322" s="85"/>
      <c r="L322" s="104"/>
    </row>
    <row r="323" spans="1:12" s="111" customFormat="1" ht="19.5" customHeight="1">
      <c r="A323" s="18"/>
      <c r="B323" s="85"/>
      <c r="C323" s="67">
        <v>2023</v>
      </c>
      <c r="D323" s="18">
        <v>0</v>
      </c>
      <c r="E323" s="105">
        <v>0</v>
      </c>
      <c r="F323" s="105"/>
      <c r="G323" s="105"/>
      <c r="H323" s="109">
        <v>0</v>
      </c>
      <c r="I323" s="18">
        <v>0</v>
      </c>
      <c r="J323" s="83"/>
      <c r="K323" s="85"/>
      <c r="L323" s="104"/>
    </row>
    <row r="324" spans="1:12" s="111" customFormat="1" ht="19.5" customHeight="1">
      <c r="A324" s="18" t="s">
        <v>158</v>
      </c>
      <c r="B324" s="85" t="s">
        <v>159</v>
      </c>
      <c r="C324" s="67">
        <v>2017</v>
      </c>
      <c r="D324" s="18">
        <v>0</v>
      </c>
      <c r="E324" s="105">
        <v>0</v>
      </c>
      <c r="F324" s="105"/>
      <c r="G324" s="105"/>
      <c r="H324" s="109">
        <v>0</v>
      </c>
      <c r="I324" s="18">
        <v>0</v>
      </c>
      <c r="J324" s="83"/>
      <c r="K324" s="114" t="s">
        <v>160</v>
      </c>
      <c r="L324" s="104"/>
    </row>
    <row r="325" spans="1:12" s="111" customFormat="1" ht="19.5" customHeight="1">
      <c r="A325" s="18"/>
      <c r="B325" s="85"/>
      <c r="C325" s="67">
        <v>2018</v>
      </c>
      <c r="D325" s="18">
        <v>0</v>
      </c>
      <c r="E325" s="105">
        <v>0</v>
      </c>
      <c r="F325" s="105"/>
      <c r="G325" s="105"/>
      <c r="H325" s="109">
        <v>0</v>
      </c>
      <c r="I325" s="18">
        <v>0</v>
      </c>
      <c r="J325" s="83"/>
      <c r="K325" s="114"/>
      <c r="L325" s="104"/>
    </row>
    <row r="326" spans="1:12" s="111" customFormat="1" ht="19.5" customHeight="1">
      <c r="A326" s="18"/>
      <c r="B326" s="85"/>
      <c r="C326" s="67">
        <v>2019</v>
      </c>
      <c r="D326" s="18">
        <f>I326</f>
        <v>4102.315</v>
      </c>
      <c r="E326" s="105">
        <v>0</v>
      </c>
      <c r="F326" s="105"/>
      <c r="G326" s="105"/>
      <c r="H326" s="109">
        <v>0</v>
      </c>
      <c r="I326" s="18">
        <v>4102.315</v>
      </c>
      <c r="J326" s="116"/>
      <c r="K326" s="114"/>
      <c r="L326" s="104"/>
    </row>
    <row r="327" spans="1:12" s="111" customFormat="1" ht="19.5" customHeight="1">
      <c r="A327" s="18"/>
      <c r="B327" s="85"/>
      <c r="C327" s="67">
        <v>2020</v>
      </c>
      <c r="D327" s="18">
        <v>0</v>
      </c>
      <c r="E327" s="105">
        <v>0</v>
      </c>
      <c r="F327" s="105"/>
      <c r="G327" s="105"/>
      <c r="H327" s="109">
        <v>0</v>
      </c>
      <c r="I327" s="18">
        <v>0</v>
      </c>
      <c r="J327" s="83"/>
      <c r="K327" s="114"/>
      <c r="L327" s="104"/>
    </row>
    <row r="328" spans="1:12" s="111" customFormat="1" ht="19.5" customHeight="1">
      <c r="A328" s="18"/>
      <c r="B328" s="85"/>
      <c r="C328" s="67">
        <v>2021</v>
      </c>
      <c r="D328" s="18">
        <v>0</v>
      </c>
      <c r="E328" s="105">
        <v>0</v>
      </c>
      <c r="F328" s="105"/>
      <c r="G328" s="105"/>
      <c r="H328" s="109">
        <v>0</v>
      </c>
      <c r="I328" s="18">
        <v>0</v>
      </c>
      <c r="J328" s="83"/>
      <c r="K328" s="114"/>
      <c r="L328" s="104"/>
    </row>
    <row r="329" spans="1:12" s="111" customFormat="1" ht="19.5" customHeight="1">
      <c r="A329" s="18"/>
      <c r="B329" s="85"/>
      <c r="C329" s="67">
        <v>2022</v>
      </c>
      <c r="D329" s="18">
        <v>0</v>
      </c>
      <c r="E329" s="105">
        <v>0</v>
      </c>
      <c r="F329" s="105"/>
      <c r="G329" s="105"/>
      <c r="H329" s="109">
        <v>0</v>
      </c>
      <c r="I329" s="18">
        <v>0</v>
      </c>
      <c r="J329" s="83"/>
      <c r="K329" s="114"/>
      <c r="L329" s="104"/>
    </row>
    <row r="330" spans="1:12" s="111" customFormat="1" ht="19.5" customHeight="1">
      <c r="A330" s="18"/>
      <c r="B330" s="85"/>
      <c r="C330" s="67">
        <v>2023</v>
      </c>
      <c r="D330" s="18">
        <v>0</v>
      </c>
      <c r="E330" s="105">
        <v>0</v>
      </c>
      <c r="F330" s="105"/>
      <c r="G330" s="105"/>
      <c r="H330" s="109">
        <v>0</v>
      </c>
      <c r="I330" s="18">
        <v>0</v>
      </c>
      <c r="J330" s="83"/>
      <c r="K330" s="115"/>
      <c r="L330" s="104"/>
    </row>
    <row r="331" spans="1:12" s="111" customFormat="1" ht="19.5" customHeight="1">
      <c r="A331" s="18" t="s">
        <v>161</v>
      </c>
      <c r="B331" s="85" t="s">
        <v>162</v>
      </c>
      <c r="C331" s="67">
        <v>2017</v>
      </c>
      <c r="D331" s="18">
        <v>0</v>
      </c>
      <c r="E331" s="105">
        <v>0</v>
      </c>
      <c r="F331" s="105"/>
      <c r="G331" s="105"/>
      <c r="H331" s="109">
        <v>0</v>
      </c>
      <c r="I331" s="18">
        <v>0</v>
      </c>
      <c r="J331" s="83"/>
      <c r="K331" s="114" t="s">
        <v>160</v>
      </c>
      <c r="L331" s="104"/>
    </row>
    <row r="332" spans="1:12" s="111" customFormat="1" ht="19.5" customHeight="1">
      <c r="A332" s="18"/>
      <c r="B332" s="85"/>
      <c r="C332" s="67">
        <v>2018</v>
      </c>
      <c r="D332" s="18">
        <v>0</v>
      </c>
      <c r="E332" s="105">
        <v>0</v>
      </c>
      <c r="F332" s="105"/>
      <c r="G332" s="105"/>
      <c r="H332" s="109">
        <v>0</v>
      </c>
      <c r="I332" s="18">
        <v>0</v>
      </c>
      <c r="J332" s="83"/>
      <c r="K332" s="114"/>
      <c r="L332" s="104"/>
    </row>
    <row r="333" spans="1:12" s="111" customFormat="1" ht="19.5" customHeight="1">
      <c r="A333" s="18"/>
      <c r="B333" s="85"/>
      <c r="C333" s="67">
        <v>2019</v>
      </c>
      <c r="D333" s="18">
        <f>I333</f>
        <v>545.6</v>
      </c>
      <c r="E333" s="105">
        <v>0</v>
      </c>
      <c r="F333" s="105"/>
      <c r="G333" s="105"/>
      <c r="H333" s="109">
        <v>0</v>
      </c>
      <c r="I333" s="18">
        <v>545.6</v>
      </c>
      <c r="J333" s="83"/>
      <c r="K333" s="114"/>
      <c r="L333" s="104"/>
    </row>
    <row r="334" spans="1:12" s="111" customFormat="1" ht="19.5" customHeight="1">
      <c r="A334" s="18"/>
      <c r="B334" s="85"/>
      <c r="C334" s="67">
        <v>2020</v>
      </c>
      <c r="D334" s="18">
        <v>0</v>
      </c>
      <c r="E334" s="105">
        <v>0</v>
      </c>
      <c r="F334" s="105"/>
      <c r="G334" s="105"/>
      <c r="H334" s="109">
        <v>0</v>
      </c>
      <c r="I334" s="18">
        <v>0</v>
      </c>
      <c r="J334" s="83"/>
      <c r="K334" s="114"/>
      <c r="L334" s="104"/>
    </row>
    <row r="335" spans="1:12" s="111" customFormat="1" ht="19.5" customHeight="1">
      <c r="A335" s="18"/>
      <c r="B335" s="85"/>
      <c r="C335" s="67">
        <v>2021</v>
      </c>
      <c r="D335" s="18">
        <v>0</v>
      </c>
      <c r="E335" s="105">
        <v>0</v>
      </c>
      <c r="F335" s="105"/>
      <c r="G335" s="105"/>
      <c r="H335" s="109">
        <v>0</v>
      </c>
      <c r="I335" s="18">
        <v>0</v>
      </c>
      <c r="J335" s="83"/>
      <c r="K335" s="114"/>
      <c r="L335" s="104"/>
    </row>
    <row r="336" spans="1:12" s="111" customFormat="1" ht="19.5" customHeight="1">
      <c r="A336" s="18"/>
      <c r="B336" s="85"/>
      <c r="C336" s="67">
        <v>2022</v>
      </c>
      <c r="D336" s="18">
        <v>0</v>
      </c>
      <c r="E336" s="105">
        <v>0</v>
      </c>
      <c r="F336" s="105"/>
      <c r="G336" s="105"/>
      <c r="H336" s="109">
        <v>0</v>
      </c>
      <c r="I336" s="18">
        <v>0</v>
      </c>
      <c r="J336" s="83"/>
      <c r="K336" s="114"/>
      <c r="L336" s="104"/>
    </row>
    <row r="337" spans="1:12" s="111" customFormat="1" ht="19.5" customHeight="1">
      <c r="A337" s="18"/>
      <c r="B337" s="85"/>
      <c r="C337" s="67">
        <v>2023</v>
      </c>
      <c r="D337" s="18">
        <v>0</v>
      </c>
      <c r="E337" s="105">
        <v>0</v>
      </c>
      <c r="F337" s="105"/>
      <c r="G337" s="105"/>
      <c r="H337" s="109">
        <v>0</v>
      </c>
      <c r="I337" s="18">
        <v>0</v>
      </c>
      <c r="J337" s="83"/>
      <c r="K337" s="115"/>
      <c r="L337" s="104"/>
    </row>
    <row r="338" spans="1:12" s="111" customFormat="1" ht="19.5" customHeight="1">
      <c r="A338" s="18" t="s">
        <v>163</v>
      </c>
      <c r="B338" s="85" t="s">
        <v>164</v>
      </c>
      <c r="C338" s="67">
        <v>2017</v>
      </c>
      <c r="D338" s="18">
        <v>0</v>
      </c>
      <c r="E338" s="105">
        <v>0</v>
      </c>
      <c r="F338" s="105"/>
      <c r="G338" s="105"/>
      <c r="H338" s="109">
        <v>0</v>
      </c>
      <c r="I338" s="18">
        <v>0</v>
      </c>
      <c r="J338" s="83"/>
      <c r="K338" s="115" t="s">
        <v>111</v>
      </c>
      <c r="L338" s="104"/>
    </row>
    <row r="339" spans="1:12" s="111" customFormat="1" ht="19.5" customHeight="1">
      <c r="A339" s="18"/>
      <c r="B339" s="85"/>
      <c r="C339" s="67">
        <v>2018</v>
      </c>
      <c r="D339" s="18">
        <v>0</v>
      </c>
      <c r="E339" s="105">
        <v>0</v>
      </c>
      <c r="F339" s="105"/>
      <c r="G339" s="105"/>
      <c r="H339" s="109">
        <v>0</v>
      </c>
      <c r="I339" s="18">
        <v>0</v>
      </c>
      <c r="J339" s="83"/>
      <c r="K339" s="115"/>
      <c r="L339" s="104"/>
    </row>
    <row r="340" spans="1:12" s="111" customFormat="1" ht="19.5" customHeight="1">
      <c r="A340" s="18"/>
      <c r="B340" s="85"/>
      <c r="C340" s="67">
        <v>2019</v>
      </c>
      <c r="D340" s="18">
        <f>I340</f>
        <v>158.51999999999998</v>
      </c>
      <c r="E340" s="105">
        <v>0</v>
      </c>
      <c r="F340" s="105"/>
      <c r="G340" s="105"/>
      <c r="H340" s="109">
        <v>0</v>
      </c>
      <c r="I340" s="18">
        <f>175.67-17.15</f>
        <v>158.51999999999998</v>
      </c>
      <c r="J340" s="83"/>
      <c r="K340" s="115"/>
      <c r="L340" s="104"/>
    </row>
    <row r="341" spans="1:12" s="111" customFormat="1" ht="19.5" customHeight="1">
      <c r="A341" s="18"/>
      <c r="B341" s="85"/>
      <c r="C341" s="67">
        <v>2020</v>
      </c>
      <c r="D341" s="18">
        <v>0</v>
      </c>
      <c r="E341" s="105">
        <v>0</v>
      </c>
      <c r="F341" s="105"/>
      <c r="G341" s="105"/>
      <c r="H341" s="109">
        <v>0</v>
      </c>
      <c r="I341" s="18">
        <v>0</v>
      </c>
      <c r="J341" s="83"/>
      <c r="K341" s="115"/>
      <c r="L341" s="104"/>
    </row>
    <row r="342" spans="1:12" s="111" customFormat="1" ht="19.5" customHeight="1">
      <c r="A342" s="18"/>
      <c r="B342" s="85"/>
      <c r="C342" s="67">
        <v>2021</v>
      </c>
      <c r="D342" s="18">
        <v>0</v>
      </c>
      <c r="E342" s="105">
        <v>0</v>
      </c>
      <c r="F342" s="105"/>
      <c r="G342" s="105"/>
      <c r="H342" s="109">
        <v>0</v>
      </c>
      <c r="I342" s="18">
        <v>0</v>
      </c>
      <c r="J342" s="83"/>
      <c r="K342" s="115"/>
      <c r="L342" s="104"/>
    </row>
    <row r="343" spans="1:12" s="111" customFormat="1" ht="19.5" customHeight="1">
      <c r="A343" s="18"/>
      <c r="B343" s="85"/>
      <c r="C343" s="67">
        <v>2022</v>
      </c>
      <c r="D343" s="18">
        <v>0</v>
      </c>
      <c r="E343" s="105">
        <v>0</v>
      </c>
      <c r="F343" s="105"/>
      <c r="G343" s="105"/>
      <c r="H343" s="109">
        <v>0</v>
      </c>
      <c r="I343" s="18">
        <v>0</v>
      </c>
      <c r="J343" s="83"/>
      <c r="K343" s="115"/>
      <c r="L343" s="104"/>
    </row>
    <row r="344" spans="1:12" s="111" customFormat="1" ht="19.5" customHeight="1">
      <c r="A344" s="18"/>
      <c r="B344" s="85"/>
      <c r="C344" s="67">
        <v>2023</v>
      </c>
      <c r="D344" s="18">
        <v>0</v>
      </c>
      <c r="E344" s="105">
        <v>0</v>
      </c>
      <c r="F344" s="105"/>
      <c r="G344" s="105"/>
      <c r="H344" s="109">
        <v>0</v>
      </c>
      <c r="I344" s="18">
        <v>0</v>
      </c>
      <c r="J344" s="83"/>
      <c r="K344" s="115"/>
      <c r="L344" s="104"/>
    </row>
    <row r="345" spans="1:12" s="111" customFormat="1" ht="19.5" customHeight="1">
      <c r="A345" s="18" t="s">
        <v>165</v>
      </c>
      <c r="B345" s="85" t="s">
        <v>166</v>
      </c>
      <c r="C345" s="67">
        <v>2017</v>
      </c>
      <c r="D345" s="18">
        <v>0</v>
      </c>
      <c r="E345" s="105">
        <v>0</v>
      </c>
      <c r="F345" s="105"/>
      <c r="G345" s="105"/>
      <c r="H345" s="109">
        <v>0</v>
      </c>
      <c r="I345" s="18">
        <v>0</v>
      </c>
      <c r="J345" s="83"/>
      <c r="K345" s="114" t="s">
        <v>160</v>
      </c>
      <c r="L345" s="104"/>
    </row>
    <row r="346" spans="1:12" s="111" customFormat="1" ht="19.5" customHeight="1">
      <c r="A346" s="18"/>
      <c r="B346" s="85"/>
      <c r="C346" s="67">
        <v>2018</v>
      </c>
      <c r="D346" s="18">
        <v>0</v>
      </c>
      <c r="E346" s="105">
        <v>0</v>
      </c>
      <c r="F346" s="105"/>
      <c r="G346" s="105"/>
      <c r="H346" s="109">
        <v>0</v>
      </c>
      <c r="I346" s="18">
        <v>0</v>
      </c>
      <c r="J346" s="83"/>
      <c r="K346" s="114"/>
      <c r="L346" s="104"/>
    </row>
    <row r="347" spans="1:12" s="111" customFormat="1" ht="19.5" customHeight="1">
      <c r="A347" s="18"/>
      <c r="B347" s="85"/>
      <c r="C347" s="67">
        <v>2019</v>
      </c>
      <c r="D347" s="18">
        <f>I347</f>
        <v>0</v>
      </c>
      <c r="E347" s="105">
        <v>0</v>
      </c>
      <c r="F347" s="105"/>
      <c r="G347" s="105"/>
      <c r="H347" s="109">
        <v>0</v>
      </c>
      <c r="I347" s="18">
        <v>0</v>
      </c>
      <c r="J347" s="83"/>
      <c r="K347" s="114"/>
      <c r="L347" s="104"/>
    </row>
    <row r="348" spans="1:12" s="111" customFormat="1" ht="19.5" customHeight="1">
      <c r="A348" s="18"/>
      <c r="B348" s="85"/>
      <c r="C348" s="67">
        <v>2020</v>
      </c>
      <c r="D348" s="18">
        <v>0</v>
      </c>
      <c r="E348" s="105">
        <v>0</v>
      </c>
      <c r="F348" s="105"/>
      <c r="G348" s="105"/>
      <c r="H348" s="109">
        <v>0</v>
      </c>
      <c r="I348" s="18">
        <v>0</v>
      </c>
      <c r="J348" s="83"/>
      <c r="K348" s="114"/>
      <c r="L348" s="104"/>
    </row>
    <row r="349" spans="1:12" s="111" customFormat="1" ht="19.5" customHeight="1">
      <c r="A349" s="18"/>
      <c r="B349" s="85"/>
      <c r="C349" s="67">
        <v>2021</v>
      </c>
      <c r="D349" s="18">
        <v>0</v>
      </c>
      <c r="E349" s="105">
        <v>0</v>
      </c>
      <c r="F349" s="105"/>
      <c r="G349" s="105"/>
      <c r="H349" s="109">
        <v>0</v>
      </c>
      <c r="I349" s="18">
        <v>0</v>
      </c>
      <c r="J349" s="83"/>
      <c r="K349" s="114"/>
      <c r="L349" s="104"/>
    </row>
    <row r="350" spans="1:12" s="111" customFormat="1" ht="19.5" customHeight="1">
      <c r="A350" s="18"/>
      <c r="B350" s="85"/>
      <c r="C350" s="67">
        <v>2022</v>
      </c>
      <c r="D350" s="18">
        <v>0</v>
      </c>
      <c r="E350" s="105">
        <v>0</v>
      </c>
      <c r="F350" s="105"/>
      <c r="G350" s="105"/>
      <c r="H350" s="109">
        <v>0</v>
      </c>
      <c r="I350" s="18">
        <v>0</v>
      </c>
      <c r="J350" s="83"/>
      <c r="K350" s="114"/>
      <c r="L350" s="104"/>
    </row>
    <row r="351" spans="1:12" s="111" customFormat="1" ht="19.5" customHeight="1">
      <c r="A351" s="18"/>
      <c r="B351" s="85"/>
      <c r="C351" s="67">
        <v>2023</v>
      </c>
      <c r="D351" s="18">
        <v>0</v>
      </c>
      <c r="E351" s="105">
        <v>0</v>
      </c>
      <c r="F351" s="105"/>
      <c r="G351" s="105"/>
      <c r="H351" s="109">
        <v>0</v>
      </c>
      <c r="I351" s="18">
        <v>0</v>
      </c>
      <c r="J351" s="83"/>
      <c r="K351" s="115"/>
      <c r="L351" s="104"/>
    </row>
    <row r="352" spans="1:12" s="111" customFormat="1" ht="19.5" customHeight="1">
      <c r="A352" s="18" t="s">
        <v>167</v>
      </c>
      <c r="B352" s="85" t="s">
        <v>168</v>
      </c>
      <c r="C352" s="67">
        <v>2017</v>
      </c>
      <c r="D352" s="18">
        <v>0</v>
      </c>
      <c r="E352" s="105">
        <v>0</v>
      </c>
      <c r="F352" s="105"/>
      <c r="G352" s="105"/>
      <c r="H352" s="109">
        <v>0</v>
      </c>
      <c r="I352" s="18">
        <v>0</v>
      </c>
      <c r="J352" s="83"/>
      <c r="K352" s="115" t="s">
        <v>169</v>
      </c>
      <c r="L352" s="104"/>
    </row>
    <row r="353" spans="1:12" s="111" customFormat="1" ht="19.5" customHeight="1">
      <c r="A353" s="18"/>
      <c r="B353" s="85"/>
      <c r="C353" s="67">
        <v>2018</v>
      </c>
      <c r="D353" s="18">
        <v>0</v>
      </c>
      <c r="E353" s="105">
        <v>0</v>
      </c>
      <c r="F353" s="105"/>
      <c r="G353" s="105"/>
      <c r="H353" s="109">
        <v>0</v>
      </c>
      <c r="I353" s="18">
        <v>0</v>
      </c>
      <c r="J353" s="83"/>
      <c r="K353" s="115"/>
      <c r="L353" s="104"/>
    </row>
    <row r="354" spans="1:12" s="111" customFormat="1" ht="19.5" customHeight="1">
      <c r="A354" s="18"/>
      <c r="B354" s="85"/>
      <c r="C354" s="67">
        <v>2019</v>
      </c>
      <c r="D354" s="18">
        <f>I354</f>
        <v>114.425</v>
      </c>
      <c r="E354" s="105">
        <v>0</v>
      </c>
      <c r="F354" s="105"/>
      <c r="G354" s="105"/>
      <c r="H354" s="109">
        <v>0</v>
      </c>
      <c r="I354" s="18">
        <f>130-15.575</f>
        <v>114.425</v>
      </c>
      <c r="J354" s="83"/>
      <c r="K354" s="115"/>
      <c r="L354" s="104"/>
    </row>
    <row r="355" spans="1:12" s="111" customFormat="1" ht="19.5" customHeight="1">
      <c r="A355" s="18"/>
      <c r="B355" s="85"/>
      <c r="C355" s="67">
        <v>2020</v>
      </c>
      <c r="D355" s="18">
        <v>0</v>
      </c>
      <c r="E355" s="105">
        <v>0</v>
      </c>
      <c r="F355" s="105"/>
      <c r="G355" s="105"/>
      <c r="H355" s="109">
        <v>0</v>
      </c>
      <c r="I355" s="18">
        <v>0</v>
      </c>
      <c r="J355" s="83"/>
      <c r="K355" s="115"/>
      <c r="L355" s="104"/>
    </row>
    <row r="356" spans="1:12" s="111" customFormat="1" ht="19.5" customHeight="1">
      <c r="A356" s="18"/>
      <c r="B356" s="85"/>
      <c r="C356" s="67">
        <v>2021</v>
      </c>
      <c r="D356" s="18">
        <v>0</v>
      </c>
      <c r="E356" s="105">
        <v>0</v>
      </c>
      <c r="F356" s="105"/>
      <c r="G356" s="105"/>
      <c r="H356" s="109">
        <v>0</v>
      </c>
      <c r="I356" s="18">
        <v>0</v>
      </c>
      <c r="J356" s="83"/>
      <c r="K356" s="115"/>
      <c r="L356" s="104"/>
    </row>
    <row r="357" spans="1:12" s="111" customFormat="1" ht="19.5" customHeight="1">
      <c r="A357" s="18"/>
      <c r="B357" s="85"/>
      <c r="C357" s="67">
        <v>2022</v>
      </c>
      <c r="D357" s="18">
        <v>0</v>
      </c>
      <c r="E357" s="105">
        <v>0</v>
      </c>
      <c r="F357" s="105"/>
      <c r="G357" s="105"/>
      <c r="H357" s="109">
        <v>0</v>
      </c>
      <c r="I357" s="18">
        <v>0</v>
      </c>
      <c r="J357" s="83"/>
      <c r="K357" s="115"/>
      <c r="L357" s="104"/>
    </row>
    <row r="358" spans="1:12" s="111" customFormat="1" ht="19.5" customHeight="1">
      <c r="A358" s="18"/>
      <c r="B358" s="85"/>
      <c r="C358" s="67">
        <v>2023</v>
      </c>
      <c r="D358" s="18">
        <v>0</v>
      </c>
      <c r="E358" s="105">
        <v>0</v>
      </c>
      <c r="F358" s="105"/>
      <c r="G358" s="105"/>
      <c r="H358" s="109">
        <v>0</v>
      </c>
      <c r="I358" s="18">
        <v>0</v>
      </c>
      <c r="J358" s="83"/>
      <c r="K358" s="115"/>
      <c r="L358" s="104"/>
    </row>
    <row r="359" spans="1:12" s="111" customFormat="1" ht="19.5" customHeight="1">
      <c r="A359" s="18" t="s">
        <v>170</v>
      </c>
      <c r="B359" s="85" t="s">
        <v>171</v>
      </c>
      <c r="C359" s="67">
        <v>2017</v>
      </c>
      <c r="D359" s="18">
        <v>0</v>
      </c>
      <c r="E359" s="105">
        <v>0</v>
      </c>
      <c r="F359" s="105"/>
      <c r="G359" s="105"/>
      <c r="H359" s="109">
        <v>0</v>
      </c>
      <c r="I359" s="18">
        <v>0</v>
      </c>
      <c r="J359" s="83"/>
      <c r="K359" s="115" t="s">
        <v>172</v>
      </c>
      <c r="L359" s="104"/>
    </row>
    <row r="360" spans="1:12" s="111" customFormat="1" ht="19.5" customHeight="1">
      <c r="A360" s="18"/>
      <c r="B360" s="85"/>
      <c r="C360" s="67">
        <v>2018</v>
      </c>
      <c r="D360" s="18">
        <v>0</v>
      </c>
      <c r="E360" s="105">
        <v>0</v>
      </c>
      <c r="F360" s="105"/>
      <c r="G360" s="105"/>
      <c r="H360" s="109">
        <v>0</v>
      </c>
      <c r="I360" s="18">
        <v>0</v>
      </c>
      <c r="J360" s="83"/>
      <c r="K360" s="115"/>
      <c r="L360" s="104"/>
    </row>
    <row r="361" spans="1:12" s="111" customFormat="1" ht="19.5" customHeight="1">
      <c r="A361" s="18"/>
      <c r="B361" s="85"/>
      <c r="C361" s="67">
        <v>2019</v>
      </c>
      <c r="D361" s="18">
        <f>I361</f>
        <v>210</v>
      </c>
      <c r="E361" s="105">
        <v>0</v>
      </c>
      <c r="F361" s="105"/>
      <c r="G361" s="105"/>
      <c r="H361" s="109">
        <v>0</v>
      </c>
      <c r="I361" s="18">
        <v>210</v>
      </c>
      <c r="J361" s="83"/>
      <c r="K361" s="115"/>
      <c r="L361" s="104"/>
    </row>
    <row r="362" spans="1:12" s="111" customFormat="1" ht="19.5" customHeight="1">
      <c r="A362" s="18"/>
      <c r="B362" s="85"/>
      <c r="C362" s="67">
        <v>2020</v>
      </c>
      <c r="D362" s="18">
        <v>0</v>
      </c>
      <c r="E362" s="105">
        <v>0</v>
      </c>
      <c r="F362" s="105"/>
      <c r="G362" s="105"/>
      <c r="H362" s="109">
        <v>0</v>
      </c>
      <c r="I362" s="18">
        <v>0</v>
      </c>
      <c r="J362" s="83"/>
      <c r="K362" s="115"/>
      <c r="L362" s="104"/>
    </row>
    <row r="363" spans="1:12" s="111" customFormat="1" ht="19.5" customHeight="1">
      <c r="A363" s="18"/>
      <c r="B363" s="85"/>
      <c r="C363" s="67">
        <v>2021</v>
      </c>
      <c r="D363" s="18">
        <v>0</v>
      </c>
      <c r="E363" s="105">
        <v>0</v>
      </c>
      <c r="F363" s="105"/>
      <c r="G363" s="105"/>
      <c r="H363" s="109">
        <v>0</v>
      </c>
      <c r="I363" s="18">
        <v>0</v>
      </c>
      <c r="J363" s="83"/>
      <c r="K363" s="115"/>
      <c r="L363" s="104"/>
    </row>
    <row r="364" spans="1:12" s="111" customFormat="1" ht="19.5" customHeight="1">
      <c r="A364" s="18"/>
      <c r="B364" s="85"/>
      <c r="C364" s="67">
        <v>2022</v>
      </c>
      <c r="D364" s="18">
        <v>0</v>
      </c>
      <c r="E364" s="105">
        <v>0</v>
      </c>
      <c r="F364" s="105"/>
      <c r="G364" s="105"/>
      <c r="H364" s="109">
        <v>0</v>
      </c>
      <c r="I364" s="18">
        <v>0</v>
      </c>
      <c r="J364" s="83"/>
      <c r="K364" s="115"/>
      <c r="L364" s="104"/>
    </row>
    <row r="365" spans="1:12" s="111" customFormat="1" ht="19.5" customHeight="1">
      <c r="A365" s="18"/>
      <c r="B365" s="85"/>
      <c r="C365" s="67">
        <v>2023</v>
      </c>
      <c r="D365" s="18">
        <v>0</v>
      </c>
      <c r="E365" s="105">
        <v>0</v>
      </c>
      <c r="F365" s="105"/>
      <c r="G365" s="105"/>
      <c r="H365" s="109">
        <v>0</v>
      </c>
      <c r="I365" s="18">
        <v>0</v>
      </c>
      <c r="J365" s="83"/>
      <c r="K365" s="115"/>
      <c r="L365" s="104"/>
    </row>
    <row r="366" spans="1:12" s="111" customFormat="1" ht="19.5" customHeight="1">
      <c r="A366" s="18" t="s">
        <v>173</v>
      </c>
      <c r="B366" s="115" t="s">
        <v>174</v>
      </c>
      <c r="C366" s="67">
        <v>2017</v>
      </c>
      <c r="D366" s="18">
        <v>0</v>
      </c>
      <c r="E366" s="105">
        <v>0</v>
      </c>
      <c r="F366" s="105"/>
      <c r="G366" s="105"/>
      <c r="H366" s="109">
        <v>0</v>
      </c>
      <c r="I366" s="18">
        <v>0</v>
      </c>
      <c r="J366" s="83"/>
      <c r="K366" s="115"/>
      <c r="L366" s="104"/>
    </row>
    <row r="367" spans="1:12" s="111" customFormat="1" ht="19.5" customHeight="1">
      <c r="A367" s="18"/>
      <c r="B367" s="115"/>
      <c r="C367" s="67">
        <v>2018</v>
      </c>
      <c r="D367" s="18">
        <v>0</v>
      </c>
      <c r="E367" s="105">
        <v>0</v>
      </c>
      <c r="F367" s="105"/>
      <c r="G367" s="105"/>
      <c r="H367" s="109">
        <v>0</v>
      </c>
      <c r="I367" s="18">
        <v>0</v>
      </c>
      <c r="J367" s="83"/>
      <c r="K367" s="115"/>
      <c r="L367" s="104"/>
    </row>
    <row r="368" spans="1:12" s="111" customFormat="1" ht="19.5" customHeight="1">
      <c r="A368" s="18"/>
      <c r="B368" s="115"/>
      <c r="C368" s="67">
        <v>2019</v>
      </c>
      <c r="D368" s="18">
        <f>I368</f>
        <v>999.607</v>
      </c>
      <c r="E368" s="105">
        <v>0</v>
      </c>
      <c r="F368" s="105"/>
      <c r="G368" s="105"/>
      <c r="H368" s="109">
        <v>0</v>
      </c>
      <c r="I368" s="18">
        <f>809.885+190.115-0.393</f>
        <v>999.607</v>
      </c>
      <c r="J368" s="83"/>
      <c r="K368" s="115" t="s">
        <v>120</v>
      </c>
      <c r="L368" s="104"/>
    </row>
    <row r="369" spans="1:12" s="111" customFormat="1" ht="19.5" customHeight="1">
      <c r="A369" s="18"/>
      <c r="B369" s="115"/>
      <c r="C369" s="67">
        <v>2020</v>
      </c>
      <c r="D369" s="18">
        <v>0</v>
      </c>
      <c r="E369" s="105">
        <v>0</v>
      </c>
      <c r="F369" s="105"/>
      <c r="G369" s="105"/>
      <c r="H369" s="109">
        <v>0</v>
      </c>
      <c r="I369" s="18">
        <v>0</v>
      </c>
      <c r="J369" s="83"/>
      <c r="K369" s="115"/>
      <c r="L369" s="104"/>
    </row>
    <row r="370" spans="1:12" s="111" customFormat="1" ht="19.5" customHeight="1">
      <c r="A370" s="18"/>
      <c r="B370" s="115"/>
      <c r="C370" s="67">
        <v>2021</v>
      </c>
      <c r="D370" s="18">
        <v>0</v>
      </c>
      <c r="E370" s="105">
        <v>0</v>
      </c>
      <c r="F370" s="105"/>
      <c r="G370" s="105"/>
      <c r="H370" s="109">
        <v>0</v>
      </c>
      <c r="I370" s="18">
        <v>0</v>
      </c>
      <c r="J370" s="83"/>
      <c r="K370" s="115"/>
      <c r="L370" s="104"/>
    </row>
    <row r="371" spans="1:12" s="111" customFormat="1" ht="19.5" customHeight="1">
      <c r="A371" s="18"/>
      <c r="B371" s="115"/>
      <c r="C371" s="67">
        <v>2022</v>
      </c>
      <c r="D371" s="18">
        <v>0</v>
      </c>
      <c r="E371" s="105">
        <v>0</v>
      </c>
      <c r="F371" s="105"/>
      <c r="G371" s="105"/>
      <c r="H371" s="109">
        <v>0</v>
      </c>
      <c r="I371" s="18">
        <v>0</v>
      </c>
      <c r="J371" s="83"/>
      <c r="K371" s="115"/>
      <c r="L371" s="104"/>
    </row>
    <row r="372" spans="1:12" s="111" customFormat="1" ht="19.5" customHeight="1">
      <c r="A372" s="18"/>
      <c r="B372" s="115"/>
      <c r="C372" s="67">
        <v>2023</v>
      </c>
      <c r="D372" s="18">
        <v>0</v>
      </c>
      <c r="E372" s="105">
        <v>0</v>
      </c>
      <c r="F372" s="105"/>
      <c r="G372" s="105"/>
      <c r="H372" s="109">
        <v>0</v>
      </c>
      <c r="I372" s="18">
        <v>0</v>
      </c>
      <c r="J372" s="83"/>
      <c r="K372" s="115"/>
      <c r="L372" s="104"/>
    </row>
    <row r="373" spans="1:12" s="111" customFormat="1" ht="19.5" customHeight="1">
      <c r="A373" s="18" t="s">
        <v>175</v>
      </c>
      <c r="B373" s="115" t="s">
        <v>176</v>
      </c>
      <c r="C373" s="67">
        <v>2017</v>
      </c>
      <c r="D373" s="18">
        <v>0</v>
      </c>
      <c r="E373" s="105">
        <v>0</v>
      </c>
      <c r="F373" s="105"/>
      <c r="G373" s="105"/>
      <c r="H373" s="109">
        <v>0</v>
      </c>
      <c r="I373" s="18">
        <v>0</v>
      </c>
      <c r="J373" s="83"/>
      <c r="K373" s="115"/>
      <c r="L373" s="104"/>
    </row>
    <row r="374" spans="1:12" s="111" customFormat="1" ht="19.5" customHeight="1">
      <c r="A374" s="18"/>
      <c r="B374" s="115"/>
      <c r="C374" s="67">
        <v>2018</v>
      </c>
      <c r="D374" s="18">
        <v>0</v>
      </c>
      <c r="E374" s="105">
        <v>0</v>
      </c>
      <c r="F374" s="105"/>
      <c r="G374" s="105"/>
      <c r="H374" s="109">
        <v>0</v>
      </c>
      <c r="I374" s="18">
        <v>0</v>
      </c>
      <c r="J374" s="83"/>
      <c r="K374" s="115"/>
      <c r="L374" s="104"/>
    </row>
    <row r="375" spans="1:12" s="111" customFormat="1" ht="19.5" customHeight="1">
      <c r="A375" s="18"/>
      <c r="B375" s="115"/>
      <c r="C375" s="67">
        <v>2019</v>
      </c>
      <c r="D375" s="18">
        <f>I375</f>
        <v>920.73976</v>
      </c>
      <c r="E375" s="105">
        <v>0</v>
      </c>
      <c r="F375" s="105"/>
      <c r="G375" s="105"/>
      <c r="H375" s="109">
        <v>0</v>
      </c>
      <c r="I375" s="18">
        <v>920.73976</v>
      </c>
      <c r="J375" s="83"/>
      <c r="K375" s="115" t="s">
        <v>177</v>
      </c>
      <c r="L375" s="104"/>
    </row>
    <row r="376" spans="1:12" s="111" customFormat="1" ht="19.5" customHeight="1">
      <c r="A376" s="18"/>
      <c r="B376" s="115"/>
      <c r="C376" s="67">
        <v>2020</v>
      </c>
      <c r="D376" s="18">
        <v>0</v>
      </c>
      <c r="E376" s="105">
        <v>0</v>
      </c>
      <c r="F376" s="105"/>
      <c r="G376" s="105"/>
      <c r="H376" s="109">
        <v>0</v>
      </c>
      <c r="I376" s="18">
        <v>0</v>
      </c>
      <c r="J376" s="83"/>
      <c r="K376" s="115"/>
      <c r="L376" s="104"/>
    </row>
    <row r="377" spans="1:12" s="111" customFormat="1" ht="19.5" customHeight="1">
      <c r="A377" s="18"/>
      <c r="B377" s="115"/>
      <c r="C377" s="67">
        <v>2021</v>
      </c>
      <c r="D377" s="18">
        <v>0</v>
      </c>
      <c r="E377" s="105">
        <v>0</v>
      </c>
      <c r="F377" s="105"/>
      <c r="G377" s="105"/>
      <c r="H377" s="109">
        <v>0</v>
      </c>
      <c r="I377" s="18">
        <v>0</v>
      </c>
      <c r="J377" s="83"/>
      <c r="K377" s="115"/>
      <c r="L377" s="104"/>
    </row>
    <row r="378" spans="1:12" s="111" customFormat="1" ht="19.5" customHeight="1">
      <c r="A378" s="18"/>
      <c r="B378" s="115"/>
      <c r="C378" s="67">
        <v>2022</v>
      </c>
      <c r="D378" s="18">
        <v>0</v>
      </c>
      <c r="E378" s="105">
        <v>0</v>
      </c>
      <c r="F378" s="105"/>
      <c r="G378" s="105"/>
      <c r="H378" s="109">
        <v>0</v>
      </c>
      <c r="I378" s="18">
        <v>0</v>
      </c>
      <c r="J378" s="83"/>
      <c r="K378" s="115"/>
      <c r="L378" s="104"/>
    </row>
    <row r="379" spans="1:12" s="111" customFormat="1" ht="19.5" customHeight="1">
      <c r="A379" s="18"/>
      <c r="B379" s="115"/>
      <c r="C379" s="67">
        <v>2023</v>
      </c>
      <c r="D379" s="18">
        <v>0</v>
      </c>
      <c r="E379" s="105">
        <v>0</v>
      </c>
      <c r="F379" s="105"/>
      <c r="G379" s="105"/>
      <c r="H379" s="109">
        <v>0</v>
      </c>
      <c r="I379" s="18">
        <v>0</v>
      </c>
      <c r="J379" s="83"/>
      <c r="K379" s="115"/>
      <c r="L379" s="104"/>
    </row>
    <row r="380" spans="1:12" s="111" customFormat="1" ht="19.5" customHeight="1">
      <c r="A380" s="18" t="s">
        <v>178</v>
      </c>
      <c r="B380" s="115" t="s">
        <v>179</v>
      </c>
      <c r="C380" s="67">
        <v>2017</v>
      </c>
      <c r="D380" s="18">
        <v>0</v>
      </c>
      <c r="E380" s="105">
        <v>0</v>
      </c>
      <c r="F380" s="105"/>
      <c r="G380" s="105"/>
      <c r="H380" s="109">
        <v>0</v>
      </c>
      <c r="I380" s="18">
        <v>0</v>
      </c>
      <c r="J380" s="83"/>
      <c r="K380" s="115"/>
      <c r="L380" s="104"/>
    </row>
    <row r="381" spans="1:12" s="111" customFormat="1" ht="19.5" customHeight="1">
      <c r="A381" s="18"/>
      <c r="B381" s="115"/>
      <c r="C381" s="67">
        <v>2018</v>
      </c>
      <c r="D381" s="18">
        <v>0</v>
      </c>
      <c r="E381" s="105">
        <v>0</v>
      </c>
      <c r="F381" s="105"/>
      <c r="G381" s="105"/>
      <c r="H381" s="109">
        <v>0</v>
      </c>
      <c r="I381" s="18">
        <v>0</v>
      </c>
      <c r="J381" s="83"/>
      <c r="K381" s="115"/>
      <c r="L381" s="104"/>
    </row>
    <row r="382" spans="1:12" s="111" customFormat="1" ht="19.5" customHeight="1">
      <c r="A382" s="18"/>
      <c r="B382" s="115"/>
      <c r="C382" s="67">
        <v>2019</v>
      </c>
      <c r="D382" s="18">
        <f>I382</f>
        <v>164.112</v>
      </c>
      <c r="E382" s="105">
        <v>0</v>
      </c>
      <c r="F382" s="105"/>
      <c r="G382" s="105"/>
      <c r="H382" s="109">
        <v>0</v>
      </c>
      <c r="I382" s="18">
        <v>164.112</v>
      </c>
      <c r="J382" s="83"/>
      <c r="K382" s="114" t="s">
        <v>160</v>
      </c>
      <c r="L382" s="104"/>
    </row>
    <row r="383" spans="1:12" s="111" customFormat="1" ht="19.5" customHeight="1">
      <c r="A383" s="18"/>
      <c r="B383" s="115"/>
      <c r="C383" s="67">
        <v>2020</v>
      </c>
      <c r="D383" s="18">
        <v>0</v>
      </c>
      <c r="E383" s="105">
        <v>0</v>
      </c>
      <c r="F383" s="105"/>
      <c r="G383" s="105"/>
      <c r="H383" s="109">
        <v>0</v>
      </c>
      <c r="I383" s="18">
        <v>0</v>
      </c>
      <c r="J383" s="83"/>
      <c r="K383" s="115"/>
      <c r="L383" s="104"/>
    </row>
    <row r="384" spans="1:12" s="111" customFormat="1" ht="19.5" customHeight="1">
      <c r="A384" s="18"/>
      <c r="B384" s="115"/>
      <c r="C384" s="67">
        <v>2021</v>
      </c>
      <c r="D384" s="18">
        <v>0</v>
      </c>
      <c r="E384" s="105">
        <v>0</v>
      </c>
      <c r="F384" s="105"/>
      <c r="G384" s="105"/>
      <c r="H384" s="109">
        <v>0</v>
      </c>
      <c r="I384" s="18">
        <v>0</v>
      </c>
      <c r="J384" s="83"/>
      <c r="K384" s="115"/>
      <c r="L384" s="104"/>
    </row>
    <row r="385" spans="1:12" s="111" customFormat="1" ht="19.5" customHeight="1">
      <c r="A385" s="18"/>
      <c r="B385" s="115"/>
      <c r="C385" s="67">
        <v>2022</v>
      </c>
      <c r="D385" s="18">
        <v>0</v>
      </c>
      <c r="E385" s="105">
        <v>0</v>
      </c>
      <c r="F385" s="105"/>
      <c r="G385" s="105"/>
      <c r="H385" s="109">
        <v>0</v>
      </c>
      <c r="I385" s="18">
        <v>0</v>
      </c>
      <c r="J385" s="83"/>
      <c r="K385" s="115"/>
      <c r="L385" s="104"/>
    </row>
    <row r="386" spans="1:12" s="111" customFormat="1" ht="19.5" customHeight="1">
      <c r="A386" s="18"/>
      <c r="B386" s="115"/>
      <c r="C386" s="67">
        <v>2023</v>
      </c>
      <c r="D386" s="18">
        <v>0</v>
      </c>
      <c r="E386" s="105">
        <v>0</v>
      </c>
      <c r="F386" s="105"/>
      <c r="G386" s="105"/>
      <c r="H386" s="109">
        <v>0</v>
      </c>
      <c r="I386" s="18">
        <v>0</v>
      </c>
      <c r="J386" s="83"/>
      <c r="K386" s="115"/>
      <c r="L386" s="104"/>
    </row>
    <row r="387" spans="1:12" s="111" customFormat="1" ht="19.5" customHeight="1">
      <c r="A387" s="18" t="s">
        <v>180</v>
      </c>
      <c r="B387" s="115" t="s">
        <v>181</v>
      </c>
      <c r="C387" s="67">
        <v>2017</v>
      </c>
      <c r="D387" s="18">
        <v>0</v>
      </c>
      <c r="E387" s="105">
        <v>0</v>
      </c>
      <c r="F387" s="105"/>
      <c r="G387" s="105"/>
      <c r="H387" s="109">
        <v>0</v>
      </c>
      <c r="I387" s="18">
        <v>0</v>
      </c>
      <c r="J387" s="83"/>
      <c r="K387" s="115"/>
      <c r="L387" s="104"/>
    </row>
    <row r="388" spans="1:12" s="111" customFormat="1" ht="19.5" customHeight="1">
      <c r="A388" s="18"/>
      <c r="B388" s="115"/>
      <c r="C388" s="67">
        <v>2018</v>
      </c>
      <c r="D388" s="18">
        <v>0</v>
      </c>
      <c r="E388" s="105">
        <v>0</v>
      </c>
      <c r="F388" s="105"/>
      <c r="G388" s="105"/>
      <c r="H388" s="109">
        <v>0</v>
      </c>
      <c r="I388" s="18">
        <v>0</v>
      </c>
      <c r="J388" s="83"/>
      <c r="K388" s="115"/>
      <c r="L388" s="104"/>
    </row>
    <row r="389" spans="1:12" s="111" customFormat="1" ht="19.5" customHeight="1">
      <c r="A389" s="18"/>
      <c r="B389" s="115"/>
      <c r="C389" s="67">
        <v>2019</v>
      </c>
      <c r="D389" s="18">
        <f>I389</f>
        <v>0</v>
      </c>
      <c r="E389" s="105">
        <v>0</v>
      </c>
      <c r="F389" s="105"/>
      <c r="G389" s="105"/>
      <c r="H389" s="109">
        <v>0</v>
      </c>
      <c r="I389" s="18">
        <v>0</v>
      </c>
      <c r="J389" s="83"/>
      <c r="K389" s="114" t="s">
        <v>160</v>
      </c>
      <c r="L389" s="104"/>
    </row>
    <row r="390" spans="1:12" s="111" customFormat="1" ht="19.5" customHeight="1">
      <c r="A390" s="18"/>
      <c r="B390" s="115"/>
      <c r="C390" s="67">
        <v>2020</v>
      </c>
      <c r="D390" s="18">
        <v>0</v>
      </c>
      <c r="E390" s="105">
        <v>0</v>
      </c>
      <c r="F390" s="105"/>
      <c r="G390" s="105"/>
      <c r="H390" s="109">
        <v>0</v>
      </c>
      <c r="I390" s="18">
        <v>0</v>
      </c>
      <c r="J390" s="83"/>
      <c r="K390" s="115"/>
      <c r="L390" s="104"/>
    </row>
    <row r="391" spans="1:12" s="111" customFormat="1" ht="19.5" customHeight="1">
      <c r="A391" s="18"/>
      <c r="B391" s="115"/>
      <c r="C391" s="67">
        <v>2021</v>
      </c>
      <c r="D391" s="18">
        <v>0</v>
      </c>
      <c r="E391" s="105">
        <v>0</v>
      </c>
      <c r="F391" s="105"/>
      <c r="G391" s="105"/>
      <c r="H391" s="109">
        <v>0</v>
      </c>
      <c r="I391" s="18">
        <v>0</v>
      </c>
      <c r="J391" s="83"/>
      <c r="K391" s="115"/>
      <c r="L391" s="104"/>
    </row>
    <row r="392" spans="1:12" s="111" customFormat="1" ht="19.5" customHeight="1">
      <c r="A392" s="18"/>
      <c r="B392" s="115"/>
      <c r="C392" s="67">
        <v>2022</v>
      </c>
      <c r="D392" s="18">
        <v>0</v>
      </c>
      <c r="E392" s="105">
        <v>0</v>
      </c>
      <c r="F392" s="105"/>
      <c r="G392" s="105"/>
      <c r="H392" s="109">
        <v>0</v>
      </c>
      <c r="I392" s="18">
        <v>0</v>
      </c>
      <c r="J392" s="83"/>
      <c r="K392" s="115"/>
      <c r="L392" s="104"/>
    </row>
    <row r="393" spans="1:12" s="111" customFormat="1" ht="19.5" customHeight="1">
      <c r="A393" s="18"/>
      <c r="B393" s="115"/>
      <c r="C393" s="67">
        <v>2023</v>
      </c>
      <c r="D393" s="18">
        <v>0</v>
      </c>
      <c r="E393" s="105">
        <v>0</v>
      </c>
      <c r="F393" s="105"/>
      <c r="G393" s="105"/>
      <c r="H393" s="109">
        <v>0</v>
      </c>
      <c r="I393" s="18">
        <v>0</v>
      </c>
      <c r="J393" s="83"/>
      <c r="K393" s="115"/>
      <c r="L393" s="104"/>
    </row>
    <row r="394" spans="1:12" s="111" customFormat="1" ht="19.5" customHeight="1">
      <c r="A394" s="18" t="s">
        <v>182</v>
      </c>
      <c r="B394" s="115" t="s">
        <v>183</v>
      </c>
      <c r="C394" s="67">
        <v>2017</v>
      </c>
      <c r="D394" s="18">
        <v>0</v>
      </c>
      <c r="E394" s="105">
        <v>0</v>
      </c>
      <c r="F394" s="105"/>
      <c r="G394" s="105"/>
      <c r="H394" s="109">
        <v>0</v>
      </c>
      <c r="I394" s="18">
        <v>0</v>
      </c>
      <c r="J394" s="83"/>
      <c r="K394" s="115"/>
      <c r="L394" s="104"/>
    </row>
    <row r="395" spans="1:12" s="111" customFormat="1" ht="19.5" customHeight="1">
      <c r="A395" s="18"/>
      <c r="B395" s="115"/>
      <c r="C395" s="67">
        <v>2018</v>
      </c>
      <c r="D395" s="18">
        <v>0</v>
      </c>
      <c r="E395" s="105">
        <v>0</v>
      </c>
      <c r="F395" s="105"/>
      <c r="G395" s="105"/>
      <c r="H395" s="109">
        <v>0</v>
      </c>
      <c r="I395" s="18">
        <v>0</v>
      </c>
      <c r="J395" s="83"/>
      <c r="K395" s="115"/>
      <c r="L395" s="104"/>
    </row>
    <row r="396" spans="1:12" s="111" customFormat="1" ht="19.5" customHeight="1">
      <c r="A396" s="18"/>
      <c r="B396" s="115"/>
      <c r="C396" s="67">
        <v>2019</v>
      </c>
      <c r="D396" s="18">
        <f>I396</f>
        <v>112.185</v>
      </c>
      <c r="E396" s="105">
        <v>0</v>
      </c>
      <c r="F396" s="105"/>
      <c r="G396" s="105"/>
      <c r="H396" s="109">
        <v>0</v>
      </c>
      <c r="I396" s="18">
        <f>88.345+23.84</f>
        <v>112.185</v>
      </c>
      <c r="J396" s="83"/>
      <c r="K396" s="115" t="s">
        <v>169</v>
      </c>
      <c r="L396" s="104"/>
    </row>
    <row r="397" spans="1:12" s="111" customFormat="1" ht="19.5" customHeight="1">
      <c r="A397" s="18"/>
      <c r="B397" s="115"/>
      <c r="C397" s="67">
        <v>2020</v>
      </c>
      <c r="D397" s="18">
        <v>0</v>
      </c>
      <c r="E397" s="105">
        <v>0</v>
      </c>
      <c r="F397" s="105"/>
      <c r="G397" s="105"/>
      <c r="H397" s="109">
        <v>0</v>
      </c>
      <c r="I397" s="18">
        <v>0</v>
      </c>
      <c r="J397" s="83"/>
      <c r="K397" s="115"/>
      <c r="L397" s="104"/>
    </row>
    <row r="398" spans="1:12" s="111" customFormat="1" ht="19.5" customHeight="1">
      <c r="A398" s="18"/>
      <c r="B398" s="115"/>
      <c r="C398" s="67">
        <v>2021</v>
      </c>
      <c r="D398" s="18">
        <v>0</v>
      </c>
      <c r="E398" s="105">
        <v>0</v>
      </c>
      <c r="F398" s="105"/>
      <c r="G398" s="105"/>
      <c r="H398" s="109">
        <v>0</v>
      </c>
      <c r="I398" s="18">
        <v>0</v>
      </c>
      <c r="J398" s="83"/>
      <c r="K398" s="115"/>
      <c r="L398" s="104"/>
    </row>
    <row r="399" spans="1:12" s="111" customFormat="1" ht="19.5" customHeight="1">
      <c r="A399" s="18"/>
      <c r="B399" s="115"/>
      <c r="C399" s="67">
        <v>2022</v>
      </c>
      <c r="D399" s="18">
        <v>0</v>
      </c>
      <c r="E399" s="105">
        <v>0</v>
      </c>
      <c r="F399" s="105"/>
      <c r="G399" s="105"/>
      <c r="H399" s="109">
        <v>0</v>
      </c>
      <c r="I399" s="18">
        <v>0</v>
      </c>
      <c r="J399" s="83"/>
      <c r="K399" s="115"/>
      <c r="L399" s="104"/>
    </row>
    <row r="400" spans="1:12" s="111" customFormat="1" ht="19.5" customHeight="1">
      <c r="A400" s="18"/>
      <c r="B400" s="115"/>
      <c r="C400" s="67">
        <v>2023</v>
      </c>
      <c r="D400" s="18">
        <v>0</v>
      </c>
      <c r="E400" s="105">
        <v>0</v>
      </c>
      <c r="F400" s="105"/>
      <c r="G400" s="105"/>
      <c r="H400" s="109">
        <v>0</v>
      </c>
      <c r="I400" s="18">
        <v>0</v>
      </c>
      <c r="J400" s="83"/>
      <c r="K400" s="115"/>
      <c r="L400" s="104"/>
    </row>
    <row r="401" spans="1:12" s="111" customFormat="1" ht="19.5" customHeight="1">
      <c r="A401" s="18" t="s">
        <v>184</v>
      </c>
      <c r="B401" s="115" t="s">
        <v>185</v>
      </c>
      <c r="C401" s="67">
        <v>2017</v>
      </c>
      <c r="D401" s="18">
        <v>0</v>
      </c>
      <c r="E401" s="105">
        <v>0</v>
      </c>
      <c r="F401" s="105"/>
      <c r="G401" s="105"/>
      <c r="H401" s="109">
        <v>0</v>
      </c>
      <c r="I401" s="18">
        <v>0</v>
      </c>
      <c r="J401" s="83"/>
      <c r="K401" s="115"/>
      <c r="L401" s="104"/>
    </row>
    <row r="402" spans="1:12" s="111" customFormat="1" ht="19.5" customHeight="1">
      <c r="A402" s="18"/>
      <c r="B402" s="115"/>
      <c r="C402" s="67">
        <v>2018</v>
      </c>
      <c r="D402" s="18">
        <v>0</v>
      </c>
      <c r="E402" s="105">
        <v>0</v>
      </c>
      <c r="F402" s="105"/>
      <c r="G402" s="105"/>
      <c r="H402" s="109">
        <v>0</v>
      </c>
      <c r="I402" s="18">
        <v>0</v>
      </c>
      <c r="J402" s="83"/>
      <c r="K402" s="115"/>
      <c r="L402" s="104"/>
    </row>
    <row r="403" spans="1:12" s="111" customFormat="1" ht="19.5" customHeight="1">
      <c r="A403" s="18"/>
      <c r="B403" s="115"/>
      <c r="C403" s="67">
        <v>2019</v>
      </c>
      <c r="D403" s="18">
        <f>I403</f>
        <v>399</v>
      </c>
      <c r="E403" s="105">
        <v>0</v>
      </c>
      <c r="F403" s="105"/>
      <c r="G403" s="105"/>
      <c r="H403" s="109">
        <v>0</v>
      </c>
      <c r="I403" s="18">
        <v>399</v>
      </c>
      <c r="J403" s="83"/>
      <c r="K403" s="115" t="s">
        <v>186</v>
      </c>
      <c r="L403" s="104"/>
    </row>
    <row r="404" spans="1:12" s="111" customFormat="1" ht="19.5" customHeight="1">
      <c r="A404" s="18"/>
      <c r="B404" s="115"/>
      <c r="C404" s="67">
        <v>2020</v>
      </c>
      <c r="D404" s="18">
        <v>0</v>
      </c>
      <c r="E404" s="105">
        <v>0</v>
      </c>
      <c r="F404" s="105"/>
      <c r="G404" s="105"/>
      <c r="H404" s="109">
        <v>0</v>
      </c>
      <c r="I404" s="18">
        <v>0</v>
      </c>
      <c r="J404" s="83"/>
      <c r="K404" s="115"/>
      <c r="L404" s="104"/>
    </row>
    <row r="405" spans="1:12" s="111" customFormat="1" ht="19.5" customHeight="1">
      <c r="A405" s="18"/>
      <c r="B405" s="115"/>
      <c r="C405" s="67">
        <v>2021</v>
      </c>
      <c r="D405" s="18">
        <v>0</v>
      </c>
      <c r="E405" s="105">
        <v>0</v>
      </c>
      <c r="F405" s="105"/>
      <c r="G405" s="105"/>
      <c r="H405" s="109">
        <v>0</v>
      </c>
      <c r="I405" s="18">
        <v>0</v>
      </c>
      <c r="J405" s="83"/>
      <c r="K405" s="115"/>
      <c r="L405" s="104"/>
    </row>
    <row r="406" spans="1:12" s="111" customFormat="1" ht="19.5" customHeight="1">
      <c r="A406" s="18"/>
      <c r="B406" s="115"/>
      <c r="C406" s="67">
        <v>2022</v>
      </c>
      <c r="D406" s="18">
        <v>0</v>
      </c>
      <c r="E406" s="105">
        <v>0</v>
      </c>
      <c r="F406" s="105"/>
      <c r="G406" s="105"/>
      <c r="H406" s="109">
        <v>0</v>
      </c>
      <c r="I406" s="18">
        <v>0</v>
      </c>
      <c r="J406" s="83"/>
      <c r="K406" s="115"/>
      <c r="L406" s="104"/>
    </row>
    <row r="407" spans="1:12" s="111" customFormat="1" ht="19.5" customHeight="1">
      <c r="A407" s="18"/>
      <c r="B407" s="115"/>
      <c r="C407" s="67">
        <v>2023</v>
      </c>
      <c r="D407" s="18">
        <v>0</v>
      </c>
      <c r="E407" s="105">
        <v>0</v>
      </c>
      <c r="F407" s="105"/>
      <c r="G407" s="105"/>
      <c r="H407" s="109">
        <v>0</v>
      </c>
      <c r="I407" s="18">
        <v>0</v>
      </c>
      <c r="J407" s="83"/>
      <c r="K407" s="115"/>
      <c r="L407" s="104"/>
    </row>
    <row r="408" spans="1:12" s="111" customFormat="1" ht="19.5" customHeight="1">
      <c r="A408" s="18" t="s">
        <v>187</v>
      </c>
      <c r="B408" s="81" t="s">
        <v>188</v>
      </c>
      <c r="C408" s="67">
        <v>2017</v>
      </c>
      <c r="D408" s="18">
        <v>0</v>
      </c>
      <c r="E408" s="105">
        <v>0</v>
      </c>
      <c r="F408" s="105"/>
      <c r="G408" s="105"/>
      <c r="H408" s="109">
        <v>0</v>
      </c>
      <c r="I408" s="18">
        <v>0</v>
      </c>
      <c r="J408" s="83"/>
      <c r="K408" s="115"/>
      <c r="L408" s="104"/>
    </row>
    <row r="409" spans="1:12" s="111" customFormat="1" ht="19.5" customHeight="1">
      <c r="A409" s="18"/>
      <c r="B409" s="81"/>
      <c r="C409" s="67">
        <v>2018</v>
      </c>
      <c r="D409" s="18">
        <v>0</v>
      </c>
      <c r="E409" s="105">
        <v>0</v>
      </c>
      <c r="F409" s="105"/>
      <c r="G409" s="105"/>
      <c r="H409" s="109">
        <v>0</v>
      </c>
      <c r="I409" s="18">
        <v>0</v>
      </c>
      <c r="J409" s="83"/>
      <c r="K409" s="115"/>
      <c r="L409" s="104"/>
    </row>
    <row r="410" spans="1:12" s="111" customFormat="1" ht="19.5" customHeight="1">
      <c r="A410" s="18"/>
      <c r="B410" s="81"/>
      <c r="C410" s="67">
        <v>2019</v>
      </c>
      <c r="D410" s="18">
        <f aca="true" t="shared" si="47" ref="D410:D412">I410</f>
        <v>581.71354</v>
      </c>
      <c r="E410" s="105">
        <v>0</v>
      </c>
      <c r="F410" s="105"/>
      <c r="G410" s="105"/>
      <c r="H410" s="109">
        <v>0</v>
      </c>
      <c r="I410" s="18">
        <f>574.4-116.5+170-46.18646</f>
        <v>581.71354</v>
      </c>
      <c r="J410" s="83"/>
      <c r="K410" s="81" t="s">
        <v>111</v>
      </c>
      <c r="L410" s="104"/>
    </row>
    <row r="411" spans="1:12" s="111" customFormat="1" ht="19.5" customHeight="1">
      <c r="A411" s="18"/>
      <c r="B411" s="81"/>
      <c r="C411" s="67">
        <v>2020</v>
      </c>
      <c r="D411" s="18">
        <f t="shared" si="47"/>
        <v>569.919</v>
      </c>
      <c r="E411" s="105">
        <v>0</v>
      </c>
      <c r="F411" s="105"/>
      <c r="G411" s="105"/>
      <c r="H411" s="109">
        <v>0</v>
      </c>
      <c r="I411" s="18">
        <f>570-0.081</f>
        <v>569.919</v>
      </c>
      <c r="J411" s="83"/>
      <c r="K411" s="81"/>
      <c r="L411" s="104"/>
    </row>
    <row r="412" spans="1:12" s="111" customFormat="1" ht="19.5" customHeight="1">
      <c r="A412" s="18"/>
      <c r="B412" s="81"/>
      <c r="C412" s="67">
        <v>2021</v>
      </c>
      <c r="D412" s="18">
        <f t="shared" si="47"/>
        <v>570</v>
      </c>
      <c r="E412" s="105">
        <v>0</v>
      </c>
      <c r="F412" s="105"/>
      <c r="G412" s="105"/>
      <c r="H412" s="109">
        <v>0</v>
      </c>
      <c r="I412" s="18">
        <f>300+270</f>
        <v>570</v>
      </c>
      <c r="J412" s="83"/>
      <c r="K412" s="81"/>
      <c r="L412" s="104"/>
    </row>
    <row r="413" spans="1:12" s="111" customFormat="1" ht="19.5" customHeight="1">
      <c r="A413" s="18"/>
      <c r="B413" s="81"/>
      <c r="C413" s="67">
        <v>2022</v>
      </c>
      <c r="D413" s="18">
        <v>0</v>
      </c>
      <c r="E413" s="105">
        <v>0</v>
      </c>
      <c r="F413" s="105"/>
      <c r="G413" s="105"/>
      <c r="H413" s="109">
        <v>0</v>
      </c>
      <c r="I413" s="18">
        <v>570</v>
      </c>
      <c r="J413" s="83"/>
      <c r="K413" s="81"/>
      <c r="L413" s="104"/>
    </row>
    <row r="414" spans="1:12" s="111" customFormat="1" ht="19.5" customHeight="1">
      <c r="A414" s="18"/>
      <c r="B414" s="81"/>
      <c r="C414" s="67">
        <v>2023</v>
      </c>
      <c r="D414" s="18">
        <v>0</v>
      </c>
      <c r="E414" s="105">
        <v>0</v>
      </c>
      <c r="F414" s="105"/>
      <c r="G414" s="105"/>
      <c r="H414" s="109">
        <v>0</v>
      </c>
      <c r="I414" s="18">
        <v>0</v>
      </c>
      <c r="J414" s="83"/>
      <c r="K414" s="81"/>
      <c r="L414" s="104"/>
    </row>
    <row r="415" spans="1:12" s="111" customFormat="1" ht="19.5" customHeight="1">
      <c r="A415" s="18"/>
      <c r="B415" s="81"/>
      <c r="C415" s="67">
        <v>2024</v>
      </c>
      <c r="D415" s="18">
        <v>0</v>
      </c>
      <c r="E415" s="105">
        <v>0</v>
      </c>
      <c r="F415" s="105"/>
      <c r="G415" s="105"/>
      <c r="H415" s="109">
        <v>0</v>
      </c>
      <c r="I415" s="18">
        <v>0</v>
      </c>
      <c r="J415" s="83"/>
      <c r="K415" s="81"/>
      <c r="L415" s="104"/>
    </row>
    <row r="416" spans="1:12" s="111" customFormat="1" ht="19.5" customHeight="1">
      <c r="A416" s="18" t="s">
        <v>189</v>
      </c>
      <c r="B416" s="81" t="s">
        <v>190</v>
      </c>
      <c r="C416" s="67">
        <v>2017</v>
      </c>
      <c r="D416" s="18">
        <v>0</v>
      </c>
      <c r="E416" s="105">
        <v>0</v>
      </c>
      <c r="F416" s="105"/>
      <c r="G416" s="105"/>
      <c r="H416" s="109">
        <v>0</v>
      </c>
      <c r="I416" s="18">
        <v>0</v>
      </c>
      <c r="J416" s="83"/>
      <c r="K416" s="115"/>
      <c r="L416" s="104"/>
    </row>
    <row r="417" spans="1:12" s="111" customFormat="1" ht="19.5" customHeight="1">
      <c r="A417" s="18"/>
      <c r="B417" s="81"/>
      <c r="C417" s="67">
        <v>2018</v>
      </c>
      <c r="D417" s="18">
        <v>0</v>
      </c>
      <c r="E417" s="105">
        <v>0</v>
      </c>
      <c r="F417" s="105"/>
      <c r="G417" s="105"/>
      <c r="H417" s="109">
        <v>0</v>
      </c>
      <c r="I417" s="18">
        <v>0</v>
      </c>
      <c r="J417" s="83"/>
      <c r="K417" s="115"/>
      <c r="L417" s="104"/>
    </row>
    <row r="418" spans="1:12" s="111" customFormat="1" ht="19.5" customHeight="1">
      <c r="A418" s="18"/>
      <c r="B418" s="81"/>
      <c r="C418" s="67">
        <v>2019</v>
      </c>
      <c r="D418" s="18">
        <f>I418</f>
        <v>273.154</v>
      </c>
      <c r="E418" s="105">
        <v>0</v>
      </c>
      <c r="F418" s="105"/>
      <c r="G418" s="105"/>
      <c r="H418" s="109">
        <v>0</v>
      </c>
      <c r="I418" s="18">
        <v>273.154</v>
      </c>
      <c r="J418" s="83"/>
      <c r="K418" s="115" t="s">
        <v>191</v>
      </c>
      <c r="L418" s="104"/>
    </row>
    <row r="419" spans="1:12" s="111" customFormat="1" ht="19.5" customHeight="1">
      <c r="A419" s="18"/>
      <c r="B419" s="81"/>
      <c r="C419" s="67">
        <v>2020</v>
      </c>
      <c r="D419" s="18">
        <v>0</v>
      </c>
      <c r="E419" s="105">
        <v>0</v>
      </c>
      <c r="F419" s="105"/>
      <c r="G419" s="105"/>
      <c r="H419" s="109">
        <v>0</v>
      </c>
      <c r="I419" s="18">
        <v>0</v>
      </c>
      <c r="J419" s="83"/>
      <c r="K419" s="115"/>
      <c r="L419" s="104"/>
    </row>
    <row r="420" spans="1:12" s="111" customFormat="1" ht="19.5" customHeight="1">
      <c r="A420" s="18"/>
      <c r="B420" s="81"/>
      <c r="C420" s="67">
        <v>2021</v>
      </c>
      <c r="D420" s="18">
        <v>0</v>
      </c>
      <c r="E420" s="105">
        <v>0</v>
      </c>
      <c r="F420" s="105"/>
      <c r="G420" s="105"/>
      <c r="H420" s="109">
        <v>0</v>
      </c>
      <c r="I420" s="18">
        <v>0</v>
      </c>
      <c r="J420" s="83"/>
      <c r="K420" s="115"/>
      <c r="L420" s="104"/>
    </row>
    <row r="421" spans="1:12" s="111" customFormat="1" ht="19.5" customHeight="1">
      <c r="A421" s="18"/>
      <c r="B421" s="81"/>
      <c r="C421" s="67">
        <v>2022</v>
      </c>
      <c r="D421" s="18">
        <v>0</v>
      </c>
      <c r="E421" s="105">
        <v>0</v>
      </c>
      <c r="F421" s="105"/>
      <c r="G421" s="105"/>
      <c r="H421" s="109">
        <v>0</v>
      </c>
      <c r="I421" s="18">
        <v>0</v>
      </c>
      <c r="J421" s="83"/>
      <c r="K421" s="115"/>
      <c r="L421" s="104"/>
    </row>
    <row r="422" spans="1:12" s="111" customFormat="1" ht="19.5" customHeight="1">
      <c r="A422" s="18"/>
      <c r="B422" s="81"/>
      <c r="C422" s="67">
        <v>2023</v>
      </c>
      <c r="D422" s="18">
        <v>0</v>
      </c>
      <c r="E422" s="105">
        <v>0</v>
      </c>
      <c r="F422" s="105"/>
      <c r="G422" s="105"/>
      <c r="H422" s="109">
        <v>0</v>
      </c>
      <c r="I422" s="18">
        <v>0</v>
      </c>
      <c r="J422" s="83"/>
      <c r="K422" s="115"/>
      <c r="L422" s="104"/>
    </row>
    <row r="423" spans="1:12" s="111" customFormat="1" ht="19.5" customHeight="1">
      <c r="A423" s="18" t="s">
        <v>192</v>
      </c>
      <c r="B423" s="115" t="s">
        <v>193</v>
      </c>
      <c r="C423" s="67">
        <v>2017</v>
      </c>
      <c r="D423" s="18">
        <v>0</v>
      </c>
      <c r="E423" s="105">
        <v>0</v>
      </c>
      <c r="F423" s="105"/>
      <c r="G423" s="105"/>
      <c r="H423" s="109">
        <v>0</v>
      </c>
      <c r="I423" s="18">
        <v>0</v>
      </c>
      <c r="J423" s="83"/>
      <c r="K423" s="115"/>
      <c r="L423" s="104"/>
    </row>
    <row r="424" spans="1:12" s="111" customFormat="1" ht="19.5" customHeight="1">
      <c r="A424" s="18"/>
      <c r="B424" s="115"/>
      <c r="C424" s="67">
        <v>2018</v>
      </c>
      <c r="D424" s="18">
        <v>0</v>
      </c>
      <c r="E424" s="105">
        <v>0</v>
      </c>
      <c r="F424" s="105"/>
      <c r="G424" s="105"/>
      <c r="H424" s="109">
        <v>0</v>
      </c>
      <c r="I424" s="18">
        <v>0</v>
      </c>
      <c r="J424" s="83"/>
      <c r="K424" s="115"/>
      <c r="L424" s="104"/>
    </row>
    <row r="425" spans="1:12" s="111" customFormat="1" ht="19.5" customHeight="1">
      <c r="A425" s="18"/>
      <c r="B425" s="115"/>
      <c r="C425" s="67">
        <v>2019</v>
      </c>
      <c r="D425" s="18">
        <f>I425</f>
        <v>43.896</v>
      </c>
      <c r="E425" s="105">
        <v>0</v>
      </c>
      <c r="F425" s="105"/>
      <c r="G425" s="105"/>
      <c r="H425" s="109">
        <v>0</v>
      </c>
      <c r="I425" s="18">
        <f>60-16.104</f>
        <v>43.896</v>
      </c>
      <c r="J425" s="83"/>
      <c r="K425" s="115" t="s">
        <v>111</v>
      </c>
      <c r="L425" s="104"/>
    </row>
    <row r="426" spans="1:12" s="111" customFormat="1" ht="19.5" customHeight="1">
      <c r="A426" s="18"/>
      <c r="B426" s="115"/>
      <c r="C426" s="67">
        <v>2020</v>
      </c>
      <c r="D426" s="18">
        <v>0</v>
      </c>
      <c r="E426" s="105">
        <v>0</v>
      </c>
      <c r="F426" s="105"/>
      <c r="G426" s="105"/>
      <c r="H426" s="109">
        <v>0</v>
      </c>
      <c r="I426" s="18">
        <v>0</v>
      </c>
      <c r="J426" s="83"/>
      <c r="K426" s="115"/>
      <c r="L426" s="104"/>
    </row>
    <row r="427" spans="1:12" s="111" customFormat="1" ht="19.5" customHeight="1">
      <c r="A427" s="18"/>
      <c r="B427" s="115"/>
      <c r="C427" s="67">
        <v>2021</v>
      </c>
      <c r="D427" s="18">
        <v>0</v>
      </c>
      <c r="E427" s="105">
        <v>0</v>
      </c>
      <c r="F427" s="105"/>
      <c r="G427" s="105"/>
      <c r="H427" s="109">
        <v>0</v>
      </c>
      <c r="I427" s="18">
        <v>0</v>
      </c>
      <c r="J427" s="83"/>
      <c r="K427" s="115"/>
      <c r="L427" s="104"/>
    </row>
    <row r="428" spans="1:12" s="111" customFormat="1" ht="19.5" customHeight="1">
      <c r="A428" s="18"/>
      <c r="B428" s="115"/>
      <c r="C428" s="67">
        <v>2022</v>
      </c>
      <c r="D428" s="18">
        <v>0</v>
      </c>
      <c r="E428" s="105">
        <v>0</v>
      </c>
      <c r="F428" s="105"/>
      <c r="G428" s="105"/>
      <c r="H428" s="109">
        <v>0</v>
      </c>
      <c r="I428" s="18">
        <v>0</v>
      </c>
      <c r="J428" s="83"/>
      <c r="K428" s="115"/>
      <c r="L428" s="104"/>
    </row>
    <row r="429" spans="1:12" s="111" customFormat="1" ht="19.5" customHeight="1">
      <c r="A429" s="18"/>
      <c r="B429" s="115"/>
      <c r="C429" s="67">
        <v>2023</v>
      </c>
      <c r="D429" s="18">
        <v>0</v>
      </c>
      <c r="E429" s="105">
        <v>0</v>
      </c>
      <c r="F429" s="105"/>
      <c r="G429" s="105"/>
      <c r="H429" s="109">
        <v>0</v>
      </c>
      <c r="I429" s="18">
        <v>0</v>
      </c>
      <c r="J429" s="83"/>
      <c r="K429" s="115"/>
      <c r="L429" s="104"/>
    </row>
    <row r="430" spans="1:12" s="111" customFormat="1" ht="19.5" customHeight="1">
      <c r="A430" s="18" t="s">
        <v>194</v>
      </c>
      <c r="B430" s="115" t="s">
        <v>195</v>
      </c>
      <c r="C430" s="67">
        <v>2017</v>
      </c>
      <c r="D430" s="18">
        <v>0</v>
      </c>
      <c r="E430" s="105">
        <v>0</v>
      </c>
      <c r="F430" s="105"/>
      <c r="G430" s="105"/>
      <c r="H430" s="109">
        <v>0</v>
      </c>
      <c r="I430" s="18">
        <v>0</v>
      </c>
      <c r="J430" s="83"/>
      <c r="K430" s="115"/>
      <c r="L430" s="104"/>
    </row>
    <row r="431" spans="1:12" s="111" customFormat="1" ht="19.5" customHeight="1">
      <c r="A431" s="18"/>
      <c r="B431" s="115"/>
      <c r="C431" s="67">
        <v>2018</v>
      </c>
      <c r="D431" s="18">
        <v>0</v>
      </c>
      <c r="E431" s="105">
        <v>0</v>
      </c>
      <c r="F431" s="105"/>
      <c r="G431" s="105"/>
      <c r="H431" s="109">
        <v>0</v>
      </c>
      <c r="I431" s="18">
        <v>0</v>
      </c>
      <c r="J431" s="83"/>
      <c r="K431" s="115"/>
      <c r="L431" s="104"/>
    </row>
    <row r="432" spans="1:12" s="111" customFormat="1" ht="19.5" customHeight="1">
      <c r="A432" s="18"/>
      <c r="B432" s="115"/>
      <c r="C432" s="67">
        <v>2019</v>
      </c>
      <c r="D432" s="18">
        <f>I432</f>
        <v>83.94</v>
      </c>
      <c r="E432" s="105">
        <v>0</v>
      </c>
      <c r="F432" s="105"/>
      <c r="G432" s="105"/>
      <c r="H432" s="109">
        <v>0</v>
      </c>
      <c r="I432" s="18">
        <v>83.94</v>
      </c>
      <c r="J432" s="83"/>
      <c r="K432" s="115" t="s">
        <v>186</v>
      </c>
      <c r="L432" s="104"/>
    </row>
    <row r="433" spans="1:12" s="111" customFormat="1" ht="19.5" customHeight="1">
      <c r="A433" s="18"/>
      <c r="B433" s="115"/>
      <c r="C433" s="67">
        <v>2020</v>
      </c>
      <c r="D433" s="18">
        <v>0</v>
      </c>
      <c r="E433" s="105">
        <v>0</v>
      </c>
      <c r="F433" s="105"/>
      <c r="G433" s="105"/>
      <c r="H433" s="109">
        <v>0</v>
      </c>
      <c r="I433" s="18">
        <v>0</v>
      </c>
      <c r="J433" s="83"/>
      <c r="K433" s="115"/>
      <c r="L433" s="104"/>
    </row>
    <row r="434" spans="1:12" s="111" customFormat="1" ht="19.5" customHeight="1">
      <c r="A434" s="18"/>
      <c r="B434" s="115"/>
      <c r="C434" s="67">
        <v>2021</v>
      </c>
      <c r="D434" s="18">
        <v>0</v>
      </c>
      <c r="E434" s="105">
        <v>0</v>
      </c>
      <c r="F434" s="105"/>
      <c r="G434" s="105"/>
      <c r="H434" s="109">
        <v>0</v>
      </c>
      <c r="I434" s="18">
        <v>0</v>
      </c>
      <c r="J434" s="83"/>
      <c r="K434" s="115"/>
      <c r="L434" s="104"/>
    </row>
    <row r="435" spans="1:12" s="111" customFormat="1" ht="19.5" customHeight="1">
      <c r="A435" s="18"/>
      <c r="B435" s="115"/>
      <c r="C435" s="67">
        <v>2022</v>
      </c>
      <c r="D435" s="18">
        <v>0</v>
      </c>
      <c r="E435" s="105">
        <v>0</v>
      </c>
      <c r="F435" s="105"/>
      <c r="G435" s="105"/>
      <c r="H435" s="109">
        <v>0</v>
      </c>
      <c r="I435" s="18">
        <v>0</v>
      </c>
      <c r="J435" s="83"/>
      <c r="K435" s="115"/>
      <c r="L435" s="104"/>
    </row>
    <row r="436" spans="1:12" s="111" customFormat="1" ht="19.5" customHeight="1">
      <c r="A436" s="18"/>
      <c r="B436" s="115"/>
      <c r="C436" s="67">
        <v>2023</v>
      </c>
      <c r="D436" s="18">
        <v>0</v>
      </c>
      <c r="E436" s="105">
        <v>0</v>
      </c>
      <c r="F436" s="105"/>
      <c r="G436" s="105"/>
      <c r="H436" s="109">
        <v>0</v>
      </c>
      <c r="I436" s="18">
        <v>0</v>
      </c>
      <c r="J436" s="83"/>
      <c r="K436" s="115"/>
      <c r="L436" s="104"/>
    </row>
    <row r="437" spans="1:12" s="111" customFormat="1" ht="19.5" customHeight="1">
      <c r="A437" s="18" t="s">
        <v>196</v>
      </c>
      <c r="B437" s="115" t="s">
        <v>197</v>
      </c>
      <c r="C437" s="67">
        <v>2017</v>
      </c>
      <c r="D437" s="18">
        <v>0</v>
      </c>
      <c r="E437" s="105">
        <v>0</v>
      </c>
      <c r="F437" s="105"/>
      <c r="G437" s="105"/>
      <c r="H437" s="109">
        <v>0</v>
      </c>
      <c r="I437" s="18">
        <v>0</v>
      </c>
      <c r="J437" s="83"/>
      <c r="K437" s="115"/>
      <c r="L437" s="104"/>
    </row>
    <row r="438" spans="1:12" s="111" customFormat="1" ht="19.5" customHeight="1">
      <c r="A438" s="18"/>
      <c r="B438" s="115"/>
      <c r="C438" s="67">
        <v>2018</v>
      </c>
      <c r="D438" s="18">
        <v>0</v>
      </c>
      <c r="E438" s="105">
        <v>0</v>
      </c>
      <c r="F438" s="105"/>
      <c r="G438" s="105"/>
      <c r="H438" s="109">
        <v>0</v>
      </c>
      <c r="I438" s="18">
        <v>0</v>
      </c>
      <c r="J438" s="83"/>
      <c r="K438" s="115"/>
      <c r="L438" s="104"/>
    </row>
    <row r="439" spans="1:12" s="111" customFormat="1" ht="19.5" customHeight="1">
      <c r="A439" s="18"/>
      <c r="B439" s="115"/>
      <c r="C439" s="67">
        <v>2019</v>
      </c>
      <c r="D439" s="18">
        <f>I439</f>
        <v>319.93</v>
      </c>
      <c r="E439" s="105">
        <v>0</v>
      </c>
      <c r="F439" s="105"/>
      <c r="G439" s="105"/>
      <c r="H439" s="109">
        <v>0</v>
      </c>
      <c r="I439" s="18">
        <f>50+210+100-0.029-0.041-40</f>
        <v>319.93</v>
      </c>
      <c r="J439" s="83"/>
      <c r="K439" s="115" t="s">
        <v>172</v>
      </c>
      <c r="L439" s="104"/>
    </row>
    <row r="440" spans="1:12" s="111" customFormat="1" ht="19.5" customHeight="1">
      <c r="A440" s="18"/>
      <c r="B440" s="115"/>
      <c r="C440" s="67">
        <v>2020</v>
      </c>
      <c r="D440" s="18">
        <v>0</v>
      </c>
      <c r="E440" s="105">
        <v>0</v>
      </c>
      <c r="F440" s="105"/>
      <c r="G440" s="105"/>
      <c r="H440" s="109">
        <v>0</v>
      </c>
      <c r="I440" s="18">
        <v>0</v>
      </c>
      <c r="J440" s="83"/>
      <c r="K440" s="115"/>
      <c r="L440" s="104"/>
    </row>
    <row r="441" spans="1:12" s="111" customFormat="1" ht="19.5" customHeight="1">
      <c r="A441" s="18"/>
      <c r="B441" s="115"/>
      <c r="C441" s="67">
        <v>2021</v>
      </c>
      <c r="D441" s="18">
        <v>0</v>
      </c>
      <c r="E441" s="105">
        <v>0</v>
      </c>
      <c r="F441" s="105"/>
      <c r="G441" s="105"/>
      <c r="H441" s="109">
        <v>0</v>
      </c>
      <c r="I441" s="18">
        <v>0</v>
      </c>
      <c r="J441" s="83"/>
      <c r="K441" s="115"/>
      <c r="L441" s="104"/>
    </row>
    <row r="442" spans="1:12" s="111" customFormat="1" ht="19.5" customHeight="1">
      <c r="A442" s="18"/>
      <c r="B442" s="115"/>
      <c r="C442" s="67">
        <v>2022</v>
      </c>
      <c r="D442" s="18">
        <v>0</v>
      </c>
      <c r="E442" s="105">
        <v>0</v>
      </c>
      <c r="F442" s="105"/>
      <c r="G442" s="105"/>
      <c r="H442" s="109">
        <v>0</v>
      </c>
      <c r="I442" s="18">
        <v>0</v>
      </c>
      <c r="J442" s="83"/>
      <c r="K442" s="115"/>
      <c r="L442" s="104"/>
    </row>
    <row r="443" spans="1:12" s="111" customFormat="1" ht="19.5" customHeight="1">
      <c r="A443" s="18"/>
      <c r="B443" s="115"/>
      <c r="C443" s="67">
        <v>2023</v>
      </c>
      <c r="D443" s="18">
        <v>0</v>
      </c>
      <c r="E443" s="105">
        <v>0</v>
      </c>
      <c r="F443" s="105"/>
      <c r="G443" s="105"/>
      <c r="H443" s="109">
        <v>0</v>
      </c>
      <c r="I443" s="18">
        <v>0</v>
      </c>
      <c r="J443" s="83"/>
      <c r="K443" s="115"/>
      <c r="L443" s="104"/>
    </row>
    <row r="444" spans="1:12" s="111" customFormat="1" ht="19.5" customHeight="1">
      <c r="A444" s="18" t="s">
        <v>198</v>
      </c>
      <c r="B444" s="115" t="s">
        <v>199</v>
      </c>
      <c r="C444" s="67">
        <v>2017</v>
      </c>
      <c r="D444" s="18">
        <v>0</v>
      </c>
      <c r="E444" s="105">
        <v>0</v>
      </c>
      <c r="F444" s="105"/>
      <c r="G444" s="105"/>
      <c r="H444" s="109">
        <v>0</v>
      </c>
      <c r="I444" s="18">
        <v>0</v>
      </c>
      <c r="J444" s="83"/>
      <c r="K444" s="115"/>
      <c r="L444" s="104"/>
    </row>
    <row r="445" spans="1:12" s="111" customFormat="1" ht="19.5" customHeight="1">
      <c r="A445" s="18"/>
      <c r="B445" s="115"/>
      <c r="C445" s="67">
        <v>2018</v>
      </c>
      <c r="D445" s="18">
        <v>0</v>
      </c>
      <c r="E445" s="105">
        <v>0</v>
      </c>
      <c r="F445" s="105"/>
      <c r="G445" s="105"/>
      <c r="H445" s="109">
        <v>0</v>
      </c>
      <c r="I445" s="18">
        <v>0</v>
      </c>
      <c r="J445" s="83"/>
      <c r="K445" s="115"/>
      <c r="L445" s="104"/>
    </row>
    <row r="446" spans="1:12" s="111" customFormat="1" ht="19.5" customHeight="1">
      <c r="A446" s="18"/>
      <c r="B446" s="115"/>
      <c r="C446" s="67">
        <v>2019</v>
      </c>
      <c r="D446" s="18">
        <f>I446</f>
        <v>39.9</v>
      </c>
      <c r="E446" s="105">
        <v>0</v>
      </c>
      <c r="F446" s="105"/>
      <c r="G446" s="105"/>
      <c r="H446" s="109">
        <v>0</v>
      </c>
      <c r="I446" s="18">
        <f>40-0.1</f>
        <v>39.9</v>
      </c>
      <c r="J446" s="83"/>
      <c r="K446" s="115" t="s">
        <v>172</v>
      </c>
      <c r="L446" s="104"/>
    </row>
    <row r="447" spans="1:12" s="111" customFormat="1" ht="19.5" customHeight="1">
      <c r="A447" s="18"/>
      <c r="B447" s="115"/>
      <c r="C447" s="67">
        <v>2020</v>
      </c>
      <c r="D447" s="18">
        <v>0</v>
      </c>
      <c r="E447" s="105">
        <v>0</v>
      </c>
      <c r="F447" s="105"/>
      <c r="G447" s="105"/>
      <c r="H447" s="109">
        <v>0</v>
      </c>
      <c r="I447" s="18">
        <v>0</v>
      </c>
      <c r="J447" s="83"/>
      <c r="K447" s="115"/>
      <c r="L447" s="104"/>
    </row>
    <row r="448" spans="1:12" s="111" customFormat="1" ht="19.5" customHeight="1">
      <c r="A448" s="18"/>
      <c r="B448" s="115"/>
      <c r="C448" s="67">
        <v>2021</v>
      </c>
      <c r="D448" s="18">
        <v>0</v>
      </c>
      <c r="E448" s="105">
        <v>0</v>
      </c>
      <c r="F448" s="105"/>
      <c r="G448" s="105"/>
      <c r="H448" s="109">
        <v>0</v>
      </c>
      <c r="I448" s="18">
        <v>0</v>
      </c>
      <c r="J448" s="83"/>
      <c r="K448" s="115"/>
      <c r="L448" s="104"/>
    </row>
    <row r="449" spans="1:12" s="111" customFormat="1" ht="19.5" customHeight="1">
      <c r="A449" s="18"/>
      <c r="B449" s="115"/>
      <c r="C449" s="67">
        <v>2022</v>
      </c>
      <c r="D449" s="18">
        <v>0</v>
      </c>
      <c r="E449" s="105">
        <v>0</v>
      </c>
      <c r="F449" s="105"/>
      <c r="G449" s="105"/>
      <c r="H449" s="109">
        <v>0</v>
      </c>
      <c r="I449" s="18">
        <v>0</v>
      </c>
      <c r="J449" s="83"/>
      <c r="K449" s="115"/>
      <c r="L449" s="104"/>
    </row>
    <row r="450" spans="1:12" s="111" customFormat="1" ht="19.5" customHeight="1">
      <c r="A450" s="18"/>
      <c r="B450" s="115"/>
      <c r="C450" s="67">
        <v>2023</v>
      </c>
      <c r="D450" s="18">
        <v>0</v>
      </c>
      <c r="E450" s="105">
        <v>0</v>
      </c>
      <c r="F450" s="105"/>
      <c r="G450" s="105"/>
      <c r="H450" s="109">
        <v>0</v>
      </c>
      <c r="I450" s="18">
        <v>0</v>
      </c>
      <c r="J450" s="83"/>
      <c r="K450" s="115"/>
      <c r="L450" s="104"/>
    </row>
    <row r="451" spans="1:12" s="111" customFormat="1" ht="19.5" customHeight="1">
      <c r="A451" s="18" t="s">
        <v>200</v>
      </c>
      <c r="B451" s="115" t="s">
        <v>201</v>
      </c>
      <c r="C451" s="67">
        <v>2017</v>
      </c>
      <c r="D451" s="18">
        <v>0</v>
      </c>
      <c r="E451" s="105">
        <v>0</v>
      </c>
      <c r="F451" s="105"/>
      <c r="G451" s="105"/>
      <c r="H451" s="109">
        <v>0</v>
      </c>
      <c r="I451" s="18">
        <v>0</v>
      </c>
      <c r="J451" s="83"/>
      <c r="K451" s="115"/>
      <c r="L451" s="104"/>
    </row>
    <row r="452" spans="1:12" s="111" customFormat="1" ht="19.5" customHeight="1">
      <c r="A452" s="18"/>
      <c r="B452" s="115"/>
      <c r="C452" s="67">
        <v>2018</v>
      </c>
      <c r="D452" s="18">
        <v>0</v>
      </c>
      <c r="E452" s="105">
        <v>0</v>
      </c>
      <c r="F452" s="105"/>
      <c r="G452" s="105"/>
      <c r="H452" s="109">
        <v>0</v>
      </c>
      <c r="I452" s="18">
        <v>0</v>
      </c>
      <c r="J452" s="83"/>
      <c r="K452" s="115"/>
      <c r="L452" s="104"/>
    </row>
    <row r="453" spans="1:12" s="111" customFormat="1" ht="19.5" customHeight="1">
      <c r="A453" s="18"/>
      <c r="B453" s="115"/>
      <c r="C453" s="67">
        <v>2019</v>
      </c>
      <c r="D453" s="18">
        <f>I453</f>
        <v>99.891</v>
      </c>
      <c r="E453" s="105">
        <v>0</v>
      </c>
      <c r="F453" s="105"/>
      <c r="G453" s="105"/>
      <c r="H453" s="109">
        <v>0</v>
      </c>
      <c r="I453" s="18">
        <f>100-0.109</f>
        <v>99.891</v>
      </c>
      <c r="J453" s="83"/>
      <c r="K453" s="115" t="s">
        <v>172</v>
      </c>
      <c r="L453" s="104"/>
    </row>
    <row r="454" spans="1:12" s="111" customFormat="1" ht="19.5" customHeight="1">
      <c r="A454" s="18"/>
      <c r="B454" s="115"/>
      <c r="C454" s="67">
        <v>2020</v>
      </c>
      <c r="D454" s="18">
        <v>0</v>
      </c>
      <c r="E454" s="105">
        <v>0</v>
      </c>
      <c r="F454" s="105"/>
      <c r="G454" s="105"/>
      <c r="H454" s="109">
        <v>0</v>
      </c>
      <c r="I454" s="18">
        <v>0</v>
      </c>
      <c r="J454" s="83"/>
      <c r="K454" s="115"/>
      <c r="L454" s="104"/>
    </row>
    <row r="455" spans="1:12" s="111" customFormat="1" ht="19.5" customHeight="1">
      <c r="A455" s="18"/>
      <c r="B455" s="115"/>
      <c r="C455" s="67">
        <v>2021</v>
      </c>
      <c r="D455" s="18">
        <v>0</v>
      </c>
      <c r="E455" s="105">
        <v>0</v>
      </c>
      <c r="F455" s="105"/>
      <c r="G455" s="105"/>
      <c r="H455" s="109">
        <v>0</v>
      </c>
      <c r="I455" s="18">
        <v>0</v>
      </c>
      <c r="J455" s="83"/>
      <c r="K455" s="115"/>
      <c r="L455" s="104"/>
    </row>
    <row r="456" spans="1:12" s="111" customFormat="1" ht="19.5" customHeight="1">
      <c r="A456" s="18"/>
      <c r="B456" s="115"/>
      <c r="C456" s="67">
        <v>2022</v>
      </c>
      <c r="D456" s="18">
        <v>0</v>
      </c>
      <c r="E456" s="105">
        <v>0</v>
      </c>
      <c r="F456" s="105"/>
      <c r="G456" s="105"/>
      <c r="H456" s="109">
        <v>0</v>
      </c>
      <c r="I456" s="18">
        <v>0</v>
      </c>
      <c r="J456" s="83"/>
      <c r="K456" s="115"/>
      <c r="L456" s="104"/>
    </row>
    <row r="457" spans="1:12" s="111" customFormat="1" ht="19.5" customHeight="1">
      <c r="A457" s="18"/>
      <c r="B457" s="115"/>
      <c r="C457" s="67">
        <v>2023</v>
      </c>
      <c r="D457" s="18">
        <v>0</v>
      </c>
      <c r="E457" s="105">
        <v>0</v>
      </c>
      <c r="F457" s="105"/>
      <c r="G457" s="105"/>
      <c r="H457" s="109">
        <v>0</v>
      </c>
      <c r="I457" s="18">
        <v>0</v>
      </c>
      <c r="J457" s="83"/>
      <c r="K457" s="115"/>
      <c r="L457" s="104"/>
    </row>
    <row r="458" spans="1:12" s="111" customFormat="1" ht="19.5" customHeight="1">
      <c r="A458" s="18" t="s">
        <v>202</v>
      </c>
      <c r="B458" s="115" t="s">
        <v>203</v>
      </c>
      <c r="C458" s="67">
        <v>2017</v>
      </c>
      <c r="D458" s="18">
        <v>0</v>
      </c>
      <c r="E458" s="105">
        <v>0</v>
      </c>
      <c r="F458" s="105"/>
      <c r="G458" s="105"/>
      <c r="H458" s="109">
        <v>0</v>
      </c>
      <c r="I458" s="18">
        <v>0</v>
      </c>
      <c r="J458" s="83"/>
      <c r="K458" s="115"/>
      <c r="L458" s="104"/>
    </row>
    <row r="459" spans="1:12" s="111" customFormat="1" ht="19.5" customHeight="1">
      <c r="A459" s="18"/>
      <c r="B459" s="115"/>
      <c r="C459" s="67">
        <v>2018</v>
      </c>
      <c r="D459" s="18">
        <v>0</v>
      </c>
      <c r="E459" s="105">
        <v>0</v>
      </c>
      <c r="F459" s="105"/>
      <c r="G459" s="105"/>
      <c r="H459" s="109">
        <v>0</v>
      </c>
      <c r="I459" s="18">
        <v>0</v>
      </c>
      <c r="J459" s="83"/>
      <c r="K459" s="115"/>
      <c r="L459" s="104"/>
    </row>
    <row r="460" spans="1:12" s="111" customFormat="1" ht="19.5" customHeight="1">
      <c r="A460" s="18"/>
      <c r="B460" s="115"/>
      <c r="C460" s="67">
        <v>2019</v>
      </c>
      <c r="D460" s="18">
        <f>I460</f>
        <v>59.927</v>
      </c>
      <c r="E460" s="105">
        <v>0</v>
      </c>
      <c r="F460" s="105"/>
      <c r="G460" s="105"/>
      <c r="H460" s="109">
        <v>0</v>
      </c>
      <c r="I460" s="18">
        <f>60-0.073</f>
        <v>59.927</v>
      </c>
      <c r="J460" s="83"/>
      <c r="K460" s="115" t="s">
        <v>169</v>
      </c>
      <c r="L460" s="104"/>
    </row>
    <row r="461" spans="1:12" s="111" customFormat="1" ht="19.5" customHeight="1">
      <c r="A461" s="18"/>
      <c r="B461" s="115"/>
      <c r="C461" s="67">
        <v>2020</v>
      </c>
      <c r="D461" s="18">
        <v>0</v>
      </c>
      <c r="E461" s="105">
        <v>0</v>
      </c>
      <c r="F461" s="105"/>
      <c r="G461" s="105"/>
      <c r="H461" s="109">
        <v>0</v>
      </c>
      <c r="I461" s="18">
        <v>0</v>
      </c>
      <c r="J461" s="83"/>
      <c r="K461" s="115"/>
      <c r="L461" s="104"/>
    </row>
    <row r="462" spans="1:12" s="111" customFormat="1" ht="19.5" customHeight="1">
      <c r="A462" s="18"/>
      <c r="B462" s="115"/>
      <c r="C462" s="67">
        <v>2021</v>
      </c>
      <c r="D462" s="18">
        <v>0</v>
      </c>
      <c r="E462" s="105">
        <v>0</v>
      </c>
      <c r="F462" s="105"/>
      <c r="G462" s="105"/>
      <c r="H462" s="109">
        <v>0</v>
      </c>
      <c r="I462" s="18">
        <v>0</v>
      </c>
      <c r="J462" s="83"/>
      <c r="K462" s="115"/>
      <c r="L462" s="104"/>
    </row>
    <row r="463" spans="1:12" s="111" customFormat="1" ht="19.5" customHeight="1">
      <c r="A463" s="18"/>
      <c r="B463" s="115"/>
      <c r="C463" s="67">
        <v>2022</v>
      </c>
      <c r="D463" s="18">
        <v>0</v>
      </c>
      <c r="E463" s="105">
        <v>0</v>
      </c>
      <c r="F463" s="105"/>
      <c r="G463" s="105"/>
      <c r="H463" s="109">
        <v>0</v>
      </c>
      <c r="I463" s="18">
        <v>0</v>
      </c>
      <c r="J463" s="83"/>
      <c r="K463" s="115"/>
      <c r="L463" s="104"/>
    </row>
    <row r="464" spans="1:12" s="111" customFormat="1" ht="19.5" customHeight="1">
      <c r="A464" s="18"/>
      <c r="B464" s="115"/>
      <c r="C464" s="67">
        <v>2023</v>
      </c>
      <c r="D464" s="18">
        <v>0</v>
      </c>
      <c r="E464" s="105">
        <v>0</v>
      </c>
      <c r="F464" s="105"/>
      <c r="G464" s="105"/>
      <c r="H464" s="109">
        <v>0</v>
      </c>
      <c r="I464" s="18">
        <v>0</v>
      </c>
      <c r="J464" s="83"/>
      <c r="K464" s="115"/>
      <c r="L464" s="104"/>
    </row>
    <row r="465" spans="1:12" s="111" customFormat="1" ht="19.5" customHeight="1">
      <c r="A465" s="117" t="s">
        <v>204</v>
      </c>
      <c r="B465" s="115" t="s">
        <v>205</v>
      </c>
      <c r="C465" s="67">
        <v>2017</v>
      </c>
      <c r="D465" s="18">
        <v>0</v>
      </c>
      <c r="E465" s="105">
        <v>0</v>
      </c>
      <c r="F465" s="105"/>
      <c r="G465" s="105"/>
      <c r="H465" s="109">
        <v>0</v>
      </c>
      <c r="I465" s="18">
        <v>0</v>
      </c>
      <c r="J465" s="83"/>
      <c r="K465" s="115"/>
      <c r="L465" s="104"/>
    </row>
    <row r="466" spans="1:12" s="111" customFormat="1" ht="19.5" customHeight="1">
      <c r="A466" s="117"/>
      <c r="B466" s="115"/>
      <c r="C466" s="67">
        <v>2018</v>
      </c>
      <c r="D466" s="18">
        <v>0</v>
      </c>
      <c r="E466" s="105">
        <v>0</v>
      </c>
      <c r="F466" s="105"/>
      <c r="G466" s="105"/>
      <c r="H466" s="109">
        <v>0</v>
      </c>
      <c r="I466" s="18">
        <v>0</v>
      </c>
      <c r="J466" s="83"/>
      <c r="K466" s="115"/>
      <c r="L466" s="104"/>
    </row>
    <row r="467" spans="1:12" s="111" customFormat="1" ht="19.5" customHeight="1">
      <c r="A467" s="117"/>
      <c r="B467" s="115"/>
      <c r="C467" s="67">
        <v>2019</v>
      </c>
      <c r="D467" s="18">
        <f>I467</f>
        <v>90</v>
      </c>
      <c r="E467" s="105">
        <v>0</v>
      </c>
      <c r="F467" s="105"/>
      <c r="G467" s="105"/>
      <c r="H467" s="109">
        <v>0</v>
      </c>
      <c r="I467" s="18">
        <f>30+60</f>
        <v>90</v>
      </c>
      <c r="J467" s="83"/>
      <c r="K467" s="115" t="s">
        <v>206</v>
      </c>
      <c r="L467" s="104"/>
    </row>
    <row r="468" spans="1:12" s="111" customFormat="1" ht="19.5" customHeight="1">
      <c r="A468" s="117"/>
      <c r="B468" s="115"/>
      <c r="C468" s="67">
        <v>2020</v>
      </c>
      <c r="D468" s="18">
        <v>0</v>
      </c>
      <c r="E468" s="105">
        <v>0</v>
      </c>
      <c r="F468" s="105"/>
      <c r="G468" s="105"/>
      <c r="H468" s="109">
        <v>0</v>
      </c>
      <c r="I468" s="18">
        <v>0</v>
      </c>
      <c r="J468" s="83"/>
      <c r="K468" s="115"/>
      <c r="L468" s="104"/>
    </row>
    <row r="469" spans="1:12" s="111" customFormat="1" ht="19.5" customHeight="1">
      <c r="A469" s="117"/>
      <c r="B469" s="115"/>
      <c r="C469" s="67">
        <v>2021</v>
      </c>
      <c r="D469" s="18">
        <v>0</v>
      </c>
      <c r="E469" s="105">
        <v>0</v>
      </c>
      <c r="F469" s="105"/>
      <c r="G469" s="105"/>
      <c r="H469" s="109">
        <v>0</v>
      </c>
      <c r="I469" s="18">
        <v>0</v>
      </c>
      <c r="J469" s="83"/>
      <c r="K469" s="115"/>
      <c r="L469" s="104"/>
    </row>
    <row r="470" spans="1:12" s="111" customFormat="1" ht="19.5" customHeight="1">
      <c r="A470" s="117"/>
      <c r="B470" s="115"/>
      <c r="C470" s="67">
        <v>2022</v>
      </c>
      <c r="D470" s="18">
        <v>0</v>
      </c>
      <c r="E470" s="105">
        <v>0</v>
      </c>
      <c r="F470" s="105"/>
      <c r="G470" s="105"/>
      <c r="H470" s="109">
        <v>0</v>
      </c>
      <c r="I470" s="18">
        <v>0</v>
      </c>
      <c r="J470" s="83"/>
      <c r="K470" s="115"/>
      <c r="L470" s="104"/>
    </row>
    <row r="471" spans="1:12" s="111" customFormat="1" ht="19.5" customHeight="1">
      <c r="A471" s="117"/>
      <c r="B471" s="115"/>
      <c r="C471" s="67">
        <v>2023</v>
      </c>
      <c r="D471" s="18">
        <v>0</v>
      </c>
      <c r="E471" s="105">
        <v>0</v>
      </c>
      <c r="F471" s="105"/>
      <c r="G471" s="105"/>
      <c r="H471" s="109">
        <v>0</v>
      </c>
      <c r="I471" s="18">
        <v>0</v>
      </c>
      <c r="J471" s="83"/>
      <c r="K471" s="115"/>
      <c r="L471" s="104"/>
    </row>
    <row r="472" spans="1:12" s="111" customFormat="1" ht="19.5" customHeight="1">
      <c r="A472" s="117" t="s">
        <v>207</v>
      </c>
      <c r="B472" s="115" t="s">
        <v>208</v>
      </c>
      <c r="C472" s="67">
        <v>2017</v>
      </c>
      <c r="D472" s="18">
        <v>0</v>
      </c>
      <c r="E472" s="105">
        <v>0</v>
      </c>
      <c r="F472" s="105"/>
      <c r="G472" s="105"/>
      <c r="H472" s="109">
        <v>0</v>
      </c>
      <c r="I472" s="18">
        <v>0</v>
      </c>
      <c r="J472" s="83"/>
      <c r="K472" s="115"/>
      <c r="L472" s="104"/>
    </row>
    <row r="473" spans="1:12" s="111" customFormat="1" ht="19.5" customHeight="1">
      <c r="A473" s="117"/>
      <c r="B473" s="115"/>
      <c r="C473" s="67">
        <v>2018</v>
      </c>
      <c r="D473" s="18">
        <v>0</v>
      </c>
      <c r="E473" s="105">
        <v>0</v>
      </c>
      <c r="F473" s="105"/>
      <c r="G473" s="105"/>
      <c r="H473" s="109">
        <v>0</v>
      </c>
      <c r="I473" s="18">
        <v>0</v>
      </c>
      <c r="J473" s="83"/>
      <c r="K473" s="115"/>
      <c r="L473" s="104"/>
    </row>
    <row r="474" spans="1:12" s="111" customFormat="1" ht="19.5" customHeight="1">
      <c r="A474" s="117"/>
      <c r="B474" s="115"/>
      <c r="C474" s="67">
        <v>2019</v>
      </c>
      <c r="D474" s="18">
        <f>I474</f>
        <v>221.458</v>
      </c>
      <c r="E474" s="105">
        <v>0</v>
      </c>
      <c r="F474" s="105"/>
      <c r="G474" s="105"/>
      <c r="H474" s="109">
        <v>0</v>
      </c>
      <c r="I474" s="18">
        <f>223-1.542</f>
        <v>221.458</v>
      </c>
      <c r="J474" s="83"/>
      <c r="K474" s="115" t="s">
        <v>172</v>
      </c>
      <c r="L474" s="104"/>
    </row>
    <row r="475" spans="1:12" s="111" customFormat="1" ht="19.5" customHeight="1">
      <c r="A475" s="117"/>
      <c r="B475" s="115"/>
      <c r="C475" s="67">
        <v>2020</v>
      </c>
      <c r="D475" s="18">
        <v>0</v>
      </c>
      <c r="E475" s="105">
        <v>0</v>
      </c>
      <c r="F475" s="105"/>
      <c r="G475" s="105"/>
      <c r="H475" s="109">
        <v>0</v>
      </c>
      <c r="I475" s="18">
        <v>0</v>
      </c>
      <c r="J475" s="83"/>
      <c r="K475" s="115"/>
      <c r="L475" s="104"/>
    </row>
    <row r="476" spans="1:12" s="111" customFormat="1" ht="19.5" customHeight="1">
      <c r="A476" s="117"/>
      <c r="B476" s="115"/>
      <c r="C476" s="67">
        <v>2021</v>
      </c>
      <c r="D476" s="18">
        <v>0</v>
      </c>
      <c r="E476" s="105">
        <v>0</v>
      </c>
      <c r="F476" s="105"/>
      <c r="G476" s="105"/>
      <c r="H476" s="109">
        <v>0</v>
      </c>
      <c r="I476" s="18">
        <v>0</v>
      </c>
      <c r="J476" s="83"/>
      <c r="K476" s="115"/>
      <c r="L476" s="104"/>
    </row>
    <row r="477" spans="1:12" s="111" customFormat="1" ht="19.5" customHeight="1">
      <c r="A477" s="117"/>
      <c r="B477" s="115"/>
      <c r="C477" s="67">
        <v>2022</v>
      </c>
      <c r="D477" s="18">
        <v>0</v>
      </c>
      <c r="E477" s="105">
        <v>0</v>
      </c>
      <c r="F477" s="105"/>
      <c r="G477" s="105"/>
      <c r="H477" s="109">
        <v>0</v>
      </c>
      <c r="I477" s="18">
        <v>0</v>
      </c>
      <c r="J477" s="83"/>
      <c r="K477" s="115"/>
      <c r="L477" s="104"/>
    </row>
    <row r="478" spans="1:12" s="111" customFormat="1" ht="19.5" customHeight="1">
      <c r="A478" s="117"/>
      <c r="B478" s="115"/>
      <c r="C478" s="67">
        <v>2023</v>
      </c>
      <c r="D478" s="18">
        <v>0</v>
      </c>
      <c r="E478" s="105">
        <v>0</v>
      </c>
      <c r="F478" s="105"/>
      <c r="G478" s="105"/>
      <c r="H478" s="109">
        <v>0</v>
      </c>
      <c r="I478" s="18">
        <v>0</v>
      </c>
      <c r="J478" s="83"/>
      <c r="K478" s="115"/>
      <c r="L478" s="104"/>
    </row>
    <row r="479" spans="1:12" s="111" customFormat="1" ht="19.5" customHeight="1">
      <c r="A479" s="117" t="s">
        <v>209</v>
      </c>
      <c r="B479" s="115" t="s">
        <v>210</v>
      </c>
      <c r="C479" s="67">
        <v>2017</v>
      </c>
      <c r="D479" s="18">
        <v>0</v>
      </c>
      <c r="E479" s="105">
        <v>0</v>
      </c>
      <c r="F479" s="105"/>
      <c r="G479" s="105"/>
      <c r="H479" s="109">
        <v>0</v>
      </c>
      <c r="I479" s="18">
        <v>0</v>
      </c>
      <c r="J479" s="83"/>
      <c r="K479" s="115"/>
      <c r="L479" s="104"/>
    </row>
    <row r="480" spans="1:12" s="111" customFormat="1" ht="19.5" customHeight="1">
      <c r="A480" s="117"/>
      <c r="B480" s="115"/>
      <c r="C480" s="67">
        <v>2018</v>
      </c>
      <c r="D480" s="18">
        <v>0</v>
      </c>
      <c r="E480" s="105">
        <v>0</v>
      </c>
      <c r="F480" s="105"/>
      <c r="G480" s="105"/>
      <c r="H480" s="109">
        <v>0</v>
      </c>
      <c r="I480" s="18">
        <v>0</v>
      </c>
      <c r="J480" s="83"/>
      <c r="K480" s="115"/>
      <c r="L480" s="104"/>
    </row>
    <row r="481" spans="1:12" s="111" customFormat="1" ht="19.5" customHeight="1">
      <c r="A481" s="117"/>
      <c r="B481" s="115"/>
      <c r="C481" s="67">
        <v>2019</v>
      </c>
      <c r="D481" s="18">
        <f>I481</f>
        <v>330.132</v>
      </c>
      <c r="E481" s="105">
        <v>0</v>
      </c>
      <c r="F481" s="105"/>
      <c r="G481" s="105"/>
      <c r="H481" s="109">
        <v>0</v>
      </c>
      <c r="I481" s="18">
        <f>361.666-31.534</f>
        <v>330.132</v>
      </c>
      <c r="J481" s="83"/>
      <c r="K481" s="115" t="s">
        <v>186</v>
      </c>
      <c r="L481" s="104"/>
    </row>
    <row r="482" spans="1:12" s="111" customFormat="1" ht="19.5" customHeight="1">
      <c r="A482" s="117"/>
      <c r="B482" s="115"/>
      <c r="C482" s="67">
        <v>2020</v>
      </c>
      <c r="D482" s="18">
        <v>0</v>
      </c>
      <c r="E482" s="105">
        <v>0</v>
      </c>
      <c r="F482" s="105"/>
      <c r="G482" s="105"/>
      <c r="H482" s="109">
        <v>0</v>
      </c>
      <c r="I482" s="18">
        <v>0</v>
      </c>
      <c r="J482" s="83"/>
      <c r="K482" s="115"/>
      <c r="L482" s="104"/>
    </row>
    <row r="483" spans="1:12" s="111" customFormat="1" ht="19.5" customHeight="1">
      <c r="A483" s="117"/>
      <c r="B483" s="115"/>
      <c r="C483" s="67">
        <v>2021</v>
      </c>
      <c r="D483" s="18">
        <v>0</v>
      </c>
      <c r="E483" s="105">
        <v>0</v>
      </c>
      <c r="F483" s="105"/>
      <c r="G483" s="105"/>
      <c r="H483" s="109">
        <v>0</v>
      </c>
      <c r="I483" s="18">
        <v>0</v>
      </c>
      <c r="J483" s="83"/>
      <c r="K483" s="115"/>
      <c r="L483" s="104"/>
    </row>
    <row r="484" spans="1:12" s="111" customFormat="1" ht="19.5" customHeight="1">
      <c r="A484" s="117"/>
      <c r="B484" s="115"/>
      <c r="C484" s="67">
        <v>2022</v>
      </c>
      <c r="D484" s="18">
        <v>0</v>
      </c>
      <c r="E484" s="105">
        <v>0</v>
      </c>
      <c r="F484" s="105"/>
      <c r="G484" s="105"/>
      <c r="H484" s="109">
        <v>0</v>
      </c>
      <c r="I484" s="18">
        <v>0</v>
      </c>
      <c r="J484" s="83"/>
      <c r="K484" s="115"/>
      <c r="L484" s="104"/>
    </row>
    <row r="485" spans="1:12" s="111" customFormat="1" ht="19.5" customHeight="1">
      <c r="A485" s="117"/>
      <c r="B485" s="115"/>
      <c r="C485" s="67">
        <v>2023</v>
      </c>
      <c r="D485" s="18">
        <v>0</v>
      </c>
      <c r="E485" s="105">
        <v>0</v>
      </c>
      <c r="F485" s="105"/>
      <c r="G485" s="105"/>
      <c r="H485" s="109">
        <v>0</v>
      </c>
      <c r="I485" s="18">
        <v>0</v>
      </c>
      <c r="J485" s="83"/>
      <c r="K485" s="115"/>
      <c r="L485" s="104"/>
    </row>
    <row r="486" spans="1:12" s="111" customFormat="1" ht="19.5" customHeight="1">
      <c r="A486" s="117" t="s">
        <v>211</v>
      </c>
      <c r="B486" s="81" t="s">
        <v>212</v>
      </c>
      <c r="C486" s="67">
        <v>2017</v>
      </c>
      <c r="D486" s="18">
        <v>0</v>
      </c>
      <c r="E486" s="105">
        <v>0</v>
      </c>
      <c r="F486" s="105"/>
      <c r="G486" s="105"/>
      <c r="H486" s="109">
        <v>0</v>
      </c>
      <c r="I486" s="18">
        <v>0</v>
      </c>
      <c r="J486" s="83"/>
      <c r="K486" s="115"/>
      <c r="L486" s="104"/>
    </row>
    <row r="487" spans="1:12" s="111" customFormat="1" ht="19.5" customHeight="1">
      <c r="A487" s="117"/>
      <c r="B487" s="81"/>
      <c r="C487" s="67">
        <v>2018</v>
      </c>
      <c r="D487" s="18">
        <v>0</v>
      </c>
      <c r="E487" s="105">
        <v>0</v>
      </c>
      <c r="F487" s="105"/>
      <c r="G487" s="105"/>
      <c r="H487" s="109">
        <v>0</v>
      </c>
      <c r="I487" s="18">
        <v>0</v>
      </c>
      <c r="J487" s="83"/>
      <c r="K487" s="115"/>
      <c r="L487" s="104"/>
    </row>
    <row r="488" spans="1:12" s="111" customFormat="1" ht="19.5" customHeight="1">
      <c r="A488" s="117"/>
      <c r="B488" s="81"/>
      <c r="C488" s="67">
        <v>2019</v>
      </c>
      <c r="D488" s="18">
        <f>E488+H488+I488</f>
        <v>143.621</v>
      </c>
      <c r="E488" s="105">
        <v>0</v>
      </c>
      <c r="F488" s="105"/>
      <c r="G488" s="105"/>
      <c r="H488" s="109">
        <v>0</v>
      </c>
      <c r="I488" s="18">
        <v>143.621</v>
      </c>
      <c r="J488" s="83"/>
      <c r="K488" s="115" t="s">
        <v>177</v>
      </c>
      <c r="L488" s="104"/>
    </row>
    <row r="489" spans="1:12" s="111" customFormat="1" ht="19.5" customHeight="1">
      <c r="A489" s="117"/>
      <c r="B489" s="81"/>
      <c r="C489" s="67">
        <v>2020</v>
      </c>
      <c r="D489" s="18">
        <v>0</v>
      </c>
      <c r="E489" s="105">
        <v>0</v>
      </c>
      <c r="F489" s="105"/>
      <c r="G489" s="105"/>
      <c r="H489" s="109">
        <v>0</v>
      </c>
      <c r="I489" s="18">
        <v>0</v>
      </c>
      <c r="J489" s="83"/>
      <c r="K489" s="115"/>
      <c r="L489" s="104"/>
    </row>
    <row r="490" spans="1:12" s="111" customFormat="1" ht="19.5" customHeight="1">
      <c r="A490" s="117"/>
      <c r="B490" s="81"/>
      <c r="C490" s="67">
        <v>2021</v>
      </c>
      <c r="D490" s="18">
        <v>0</v>
      </c>
      <c r="E490" s="105">
        <v>0</v>
      </c>
      <c r="F490" s="105"/>
      <c r="G490" s="105"/>
      <c r="H490" s="109">
        <v>0</v>
      </c>
      <c r="I490" s="18">
        <v>0</v>
      </c>
      <c r="J490" s="83"/>
      <c r="K490" s="115"/>
      <c r="L490" s="104"/>
    </row>
    <row r="491" spans="1:12" s="111" customFormat="1" ht="19.5" customHeight="1">
      <c r="A491" s="117"/>
      <c r="B491" s="81"/>
      <c r="C491" s="67">
        <v>2022</v>
      </c>
      <c r="D491" s="18">
        <v>0</v>
      </c>
      <c r="E491" s="105">
        <v>0</v>
      </c>
      <c r="F491" s="105"/>
      <c r="G491" s="105"/>
      <c r="H491" s="109">
        <v>0</v>
      </c>
      <c r="I491" s="18">
        <v>0</v>
      </c>
      <c r="J491" s="83"/>
      <c r="K491" s="115"/>
      <c r="L491" s="104"/>
    </row>
    <row r="492" spans="1:12" s="111" customFormat="1" ht="19.5" customHeight="1">
      <c r="A492" s="117"/>
      <c r="B492" s="81"/>
      <c r="C492" s="67">
        <v>2023</v>
      </c>
      <c r="D492" s="18">
        <v>0</v>
      </c>
      <c r="E492" s="105">
        <v>0</v>
      </c>
      <c r="F492" s="105"/>
      <c r="G492" s="105"/>
      <c r="H492" s="109">
        <v>0</v>
      </c>
      <c r="I492" s="18">
        <v>0</v>
      </c>
      <c r="J492" s="83"/>
      <c r="K492" s="115"/>
      <c r="L492" s="104"/>
    </row>
    <row r="493" spans="1:12" s="111" customFormat="1" ht="19.5" customHeight="1">
      <c r="A493" s="117" t="s">
        <v>213</v>
      </c>
      <c r="B493" s="81" t="s">
        <v>214</v>
      </c>
      <c r="C493" s="67">
        <v>2017</v>
      </c>
      <c r="D493" s="18">
        <v>0</v>
      </c>
      <c r="E493" s="105">
        <v>0</v>
      </c>
      <c r="F493" s="105"/>
      <c r="G493" s="105"/>
      <c r="H493" s="109">
        <v>0</v>
      </c>
      <c r="I493" s="18">
        <v>0</v>
      </c>
      <c r="J493" s="83"/>
      <c r="K493" s="115"/>
      <c r="L493" s="104"/>
    </row>
    <row r="494" spans="1:12" s="111" customFormat="1" ht="19.5" customHeight="1">
      <c r="A494" s="117"/>
      <c r="B494" s="81"/>
      <c r="C494" s="67">
        <v>2018</v>
      </c>
      <c r="D494" s="18">
        <v>0</v>
      </c>
      <c r="E494" s="105">
        <v>0</v>
      </c>
      <c r="F494" s="105"/>
      <c r="G494" s="105"/>
      <c r="H494" s="109">
        <v>0</v>
      </c>
      <c r="I494" s="18">
        <v>0</v>
      </c>
      <c r="J494" s="83"/>
      <c r="K494" s="115"/>
      <c r="L494" s="104"/>
    </row>
    <row r="495" spans="1:12" s="111" customFormat="1" ht="19.5" customHeight="1">
      <c r="A495" s="117"/>
      <c r="B495" s="81"/>
      <c r="C495" s="67">
        <v>2019</v>
      </c>
      <c r="D495" s="18">
        <f>I495</f>
        <v>69.845</v>
      </c>
      <c r="E495" s="105">
        <v>0</v>
      </c>
      <c r="F495" s="105"/>
      <c r="G495" s="105"/>
      <c r="H495" s="109">
        <v>0</v>
      </c>
      <c r="I495" s="18">
        <v>69.845</v>
      </c>
      <c r="J495" s="83"/>
      <c r="K495" s="115" t="s">
        <v>108</v>
      </c>
      <c r="L495" s="104"/>
    </row>
    <row r="496" spans="1:12" s="111" customFormat="1" ht="19.5" customHeight="1">
      <c r="A496" s="117"/>
      <c r="B496" s="81"/>
      <c r="C496" s="67">
        <v>2020</v>
      </c>
      <c r="D496" s="18">
        <v>0</v>
      </c>
      <c r="E496" s="105">
        <v>0</v>
      </c>
      <c r="F496" s="105"/>
      <c r="G496" s="105"/>
      <c r="H496" s="109">
        <v>0</v>
      </c>
      <c r="I496" s="18">
        <v>0</v>
      </c>
      <c r="J496" s="83"/>
      <c r="K496" s="115"/>
      <c r="L496" s="104"/>
    </row>
    <row r="497" spans="1:12" s="111" customFormat="1" ht="19.5" customHeight="1">
      <c r="A497" s="117"/>
      <c r="B497" s="81"/>
      <c r="C497" s="67">
        <v>2021</v>
      </c>
      <c r="D497" s="18">
        <v>0</v>
      </c>
      <c r="E497" s="105">
        <v>0</v>
      </c>
      <c r="F497" s="105"/>
      <c r="G497" s="105"/>
      <c r="H497" s="109">
        <v>0</v>
      </c>
      <c r="I497" s="18">
        <v>0</v>
      </c>
      <c r="J497" s="83"/>
      <c r="K497" s="115"/>
      <c r="L497" s="104"/>
    </row>
    <row r="498" spans="1:12" s="111" customFormat="1" ht="19.5" customHeight="1">
      <c r="A498" s="117"/>
      <c r="B498" s="81"/>
      <c r="C498" s="67">
        <v>2022</v>
      </c>
      <c r="D498" s="18">
        <v>0</v>
      </c>
      <c r="E498" s="105">
        <v>0</v>
      </c>
      <c r="F498" s="105"/>
      <c r="G498" s="105"/>
      <c r="H498" s="109">
        <v>0</v>
      </c>
      <c r="I498" s="18">
        <v>0</v>
      </c>
      <c r="J498" s="83"/>
      <c r="K498" s="115"/>
      <c r="L498" s="104"/>
    </row>
    <row r="499" spans="1:12" s="111" customFormat="1" ht="19.5" customHeight="1">
      <c r="A499" s="117"/>
      <c r="B499" s="81"/>
      <c r="C499" s="67">
        <v>2023</v>
      </c>
      <c r="D499" s="18">
        <v>0</v>
      </c>
      <c r="E499" s="105">
        <v>0</v>
      </c>
      <c r="F499" s="105"/>
      <c r="G499" s="105"/>
      <c r="H499" s="109">
        <v>0</v>
      </c>
      <c r="I499" s="18">
        <v>0</v>
      </c>
      <c r="J499" s="83"/>
      <c r="K499" s="115"/>
      <c r="L499" s="104"/>
    </row>
    <row r="500" spans="1:12" s="111" customFormat="1" ht="19.5" customHeight="1">
      <c r="A500" s="117" t="s">
        <v>215</v>
      </c>
      <c r="B500" s="81" t="s">
        <v>216</v>
      </c>
      <c r="C500" s="67">
        <v>2017</v>
      </c>
      <c r="D500" s="18">
        <v>0</v>
      </c>
      <c r="E500" s="105">
        <v>0</v>
      </c>
      <c r="F500" s="105"/>
      <c r="G500" s="105"/>
      <c r="H500" s="109">
        <v>0</v>
      </c>
      <c r="I500" s="18">
        <v>0</v>
      </c>
      <c r="J500" s="83"/>
      <c r="K500" s="115"/>
      <c r="L500" s="104"/>
    </row>
    <row r="501" spans="1:12" s="111" customFormat="1" ht="19.5" customHeight="1">
      <c r="A501" s="117"/>
      <c r="B501" s="81"/>
      <c r="C501" s="67">
        <v>2018</v>
      </c>
      <c r="D501" s="18">
        <v>0</v>
      </c>
      <c r="E501" s="105">
        <v>0</v>
      </c>
      <c r="F501" s="105"/>
      <c r="G501" s="105"/>
      <c r="H501" s="109">
        <v>0</v>
      </c>
      <c r="I501" s="18">
        <v>0</v>
      </c>
      <c r="J501" s="83"/>
      <c r="K501" s="115"/>
      <c r="L501" s="104"/>
    </row>
    <row r="502" spans="1:12" s="111" customFormat="1" ht="19.5" customHeight="1">
      <c r="A502" s="117"/>
      <c r="B502" s="81"/>
      <c r="C502" s="67">
        <v>2019</v>
      </c>
      <c r="D502" s="18">
        <f>I502</f>
        <v>549.981</v>
      </c>
      <c r="E502" s="105">
        <v>0</v>
      </c>
      <c r="F502" s="105"/>
      <c r="G502" s="105"/>
      <c r="H502" s="109">
        <v>0</v>
      </c>
      <c r="I502" s="18">
        <v>549.981</v>
      </c>
      <c r="J502" s="83"/>
      <c r="K502" s="115" t="s">
        <v>134</v>
      </c>
      <c r="L502" s="104"/>
    </row>
    <row r="503" spans="1:12" s="111" customFormat="1" ht="19.5" customHeight="1">
      <c r="A503" s="117"/>
      <c r="B503" s="81"/>
      <c r="C503" s="67">
        <v>2020</v>
      </c>
      <c r="D503" s="18">
        <v>0</v>
      </c>
      <c r="E503" s="105">
        <v>0</v>
      </c>
      <c r="F503" s="105"/>
      <c r="G503" s="105"/>
      <c r="H503" s="109">
        <v>0</v>
      </c>
      <c r="I503" s="18">
        <v>0</v>
      </c>
      <c r="J503" s="83"/>
      <c r="K503" s="115"/>
      <c r="L503" s="104"/>
    </row>
    <row r="504" spans="1:12" s="111" customFormat="1" ht="19.5" customHeight="1">
      <c r="A504" s="117"/>
      <c r="B504" s="81"/>
      <c r="C504" s="67">
        <v>2021</v>
      </c>
      <c r="D504" s="18">
        <v>0</v>
      </c>
      <c r="E504" s="105">
        <v>0</v>
      </c>
      <c r="F504" s="105"/>
      <c r="G504" s="105"/>
      <c r="H504" s="109">
        <v>0</v>
      </c>
      <c r="I504" s="18">
        <v>0</v>
      </c>
      <c r="J504" s="83"/>
      <c r="K504" s="115"/>
      <c r="L504" s="104"/>
    </row>
    <row r="505" spans="1:12" s="111" customFormat="1" ht="19.5" customHeight="1">
      <c r="A505" s="117"/>
      <c r="B505" s="81"/>
      <c r="C505" s="67">
        <v>2022</v>
      </c>
      <c r="D505" s="18">
        <v>0</v>
      </c>
      <c r="E505" s="105">
        <v>0</v>
      </c>
      <c r="F505" s="105"/>
      <c r="G505" s="105"/>
      <c r="H505" s="109">
        <v>0</v>
      </c>
      <c r="I505" s="18">
        <v>0</v>
      </c>
      <c r="J505" s="83"/>
      <c r="K505" s="115"/>
      <c r="L505" s="104"/>
    </row>
    <row r="506" spans="1:12" s="111" customFormat="1" ht="19.5" customHeight="1">
      <c r="A506" s="117"/>
      <c r="B506" s="81"/>
      <c r="C506" s="67">
        <v>2023</v>
      </c>
      <c r="D506" s="18">
        <v>0</v>
      </c>
      <c r="E506" s="105">
        <v>0</v>
      </c>
      <c r="F506" s="105"/>
      <c r="G506" s="105"/>
      <c r="H506" s="109">
        <v>0</v>
      </c>
      <c r="I506" s="18">
        <v>0</v>
      </c>
      <c r="J506" s="83"/>
      <c r="K506" s="115"/>
      <c r="L506" s="104"/>
    </row>
    <row r="507" spans="1:12" s="111" customFormat="1" ht="19.5" customHeight="1" hidden="1">
      <c r="A507" s="117" t="s">
        <v>217</v>
      </c>
      <c r="B507" s="81"/>
      <c r="C507" s="67">
        <v>2017</v>
      </c>
      <c r="D507" s="18">
        <v>0</v>
      </c>
      <c r="E507" s="105">
        <v>0</v>
      </c>
      <c r="F507" s="105"/>
      <c r="G507" s="105"/>
      <c r="H507" s="109">
        <v>0</v>
      </c>
      <c r="I507" s="18">
        <v>0</v>
      </c>
      <c r="J507" s="83"/>
      <c r="K507" s="115"/>
      <c r="L507" s="104"/>
    </row>
    <row r="508" spans="1:12" s="111" customFormat="1" ht="19.5" customHeight="1" hidden="1">
      <c r="A508" s="117"/>
      <c r="B508" s="81"/>
      <c r="C508" s="67">
        <v>2018</v>
      </c>
      <c r="D508" s="18">
        <v>0</v>
      </c>
      <c r="E508" s="105">
        <v>0</v>
      </c>
      <c r="F508" s="105"/>
      <c r="G508" s="105"/>
      <c r="H508" s="109">
        <v>0</v>
      </c>
      <c r="I508" s="18">
        <v>0</v>
      </c>
      <c r="J508" s="83"/>
      <c r="K508" s="115"/>
      <c r="L508" s="104"/>
    </row>
    <row r="509" spans="1:12" s="111" customFormat="1" ht="19.5" customHeight="1" hidden="1">
      <c r="A509" s="117"/>
      <c r="B509" s="81"/>
      <c r="C509" s="67">
        <v>2019</v>
      </c>
      <c r="D509" s="18">
        <v>0</v>
      </c>
      <c r="E509" s="105">
        <v>0</v>
      </c>
      <c r="F509" s="105"/>
      <c r="G509" s="105"/>
      <c r="H509" s="109">
        <v>0</v>
      </c>
      <c r="I509" s="18">
        <v>0</v>
      </c>
      <c r="J509" s="83"/>
      <c r="K509" s="115"/>
      <c r="L509" s="104"/>
    </row>
    <row r="510" spans="1:12" s="111" customFormat="1" ht="19.5" customHeight="1" hidden="1">
      <c r="A510" s="117"/>
      <c r="B510" s="81"/>
      <c r="C510" s="67">
        <v>2020</v>
      </c>
      <c r="D510" s="18">
        <v>0</v>
      </c>
      <c r="E510" s="105">
        <v>0</v>
      </c>
      <c r="F510" s="105"/>
      <c r="G510" s="105"/>
      <c r="H510" s="109">
        <v>0</v>
      </c>
      <c r="I510" s="18">
        <v>0</v>
      </c>
      <c r="J510" s="83"/>
      <c r="K510" s="115" t="s">
        <v>160</v>
      </c>
      <c r="L510" s="104"/>
    </row>
    <row r="511" spans="1:12" s="111" customFormat="1" ht="19.5" customHeight="1" hidden="1">
      <c r="A511" s="117"/>
      <c r="B511" s="81"/>
      <c r="C511" s="67">
        <v>2021</v>
      </c>
      <c r="D511" s="18">
        <v>0</v>
      </c>
      <c r="E511" s="105">
        <v>0</v>
      </c>
      <c r="F511" s="105"/>
      <c r="G511" s="105"/>
      <c r="H511" s="109">
        <v>0</v>
      </c>
      <c r="I511" s="18">
        <v>0</v>
      </c>
      <c r="J511" s="83"/>
      <c r="K511" s="115"/>
      <c r="L511" s="104"/>
    </row>
    <row r="512" spans="1:12" s="111" customFormat="1" ht="19.5" customHeight="1" hidden="1">
      <c r="A512" s="117"/>
      <c r="B512" s="81"/>
      <c r="C512" s="67">
        <v>2022</v>
      </c>
      <c r="D512" s="18">
        <v>0</v>
      </c>
      <c r="E512" s="105">
        <v>0</v>
      </c>
      <c r="F512" s="105"/>
      <c r="G512" s="105"/>
      <c r="H512" s="109">
        <v>0</v>
      </c>
      <c r="I512" s="18">
        <v>0</v>
      </c>
      <c r="J512" s="83"/>
      <c r="K512" s="115"/>
      <c r="L512" s="104"/>
    </row>
    <row r="513" spans="1:12" s="111" customFormat="1" ht="19.5" customHeight="1" hidden="1">
      <c r="A513" s="117" t="s">
        <v>217</v>
      </c>
      <c r="B513" s="115" t="s">
        <v>218</v>
      </c>
      <c r="C513" s="67">
        <v>2017</v>
      </c>
      <c r="D513" s="18">
        <v>0</v>
      </c>
      <c r="E513" s="105">
        <v>0</v>
      </c>
      <c r="F513" s="105"/>
      <c r="G513" s="105"/>
      <c r="H513" s="109">
        <v>0</v>
      </c>
      <c r="I513" s="18">
        <v>0</v>
      </c>
      <c r="J513" s="83"/>
      <c r="K513" s="115"/>
      <c r="L513" s="104"/>
    </row>
    <row r="514" spans="1:12" s="111" customFormat="1" ht="19.5" customHeight="1" hidden="1">
      <c r="A514" s="117"/>
      <c r="B514" s="115"/>
      <c r="C514" s="67">
        <v>2018</v>
      </c>
      <c r="D514" s="18">
        <v>0</v>
      </c>
      <c r="E514" s="105">
        <v>0</v>
      </c>
      <c r="F514" s="105"/>
      <c r="G514" s="105"/>
      <c r="H514" s="109">
        <v>0</v>
      </c>
      <c r="I514" s="18">
        <v>0</v>
      </c>
      <c r="J514" s="83"/>
      <c r="K514" s="115"/>
      <c r="L514" s="104"/>
    </row>
    <row r="515" spans="1:12" s="111" customFormat="1" ht="19.5" customHeight="1" hidden="1">
      <c r="A515" s="117"/>
      <c r="B515" s="115"/>
      <c r="C515" s="67">
        <v>2019</v>
      </c>
      <c r="D515" s="18">
        <v>0</v>
      </c>
      <c r="E515" s="105">
        <v>0</v>
      </c>
      <c r="F515" s="105"/>
      <c r="G515" s="105"/>
      <c r="H515" s="109">
        <v>0</v>
      </c>
      <c r="I515" s="18">
        <v>0</v>
      </c>
      <c r="J515" s="83"/>
      <c r="K515" s="115"/>
      <c r="L515" s="104"/>
    </row>
    <row r="516" spans="1:12" s="111" customFormat="1" ht="19.5" customHeight="1" hidden="1">
      <c r="A516" s="117"/>
      <c r="B516" s="115"/>
      <c r="C516" s="67">
        <v>2020</v>
      </c>
      <c r="D516" s="18">
        <f>I516</f>
        <v>0</v>
      </c>
      <c r="E516" s="105">
        <v>0</v>
      </c>
      <c r="F516" s="105"/>
      <c r="G516" s="105"/>
      <c r="H516" s="109">
        <v>0</v>
      </c>
      <c r="I516" s="18">
        <v>0</v>
      </c>
      <c r="J516" s="83"/>
      <c r="K516" s="114" t="s">
        <v>160</v>
      </c>
      <c r="L516" s="104"/>
    </row>
    <row r="517" spans="1:12" s="111" customFormat="1" ht="19.5" customHeight="1" hidden="1">
      <c r="A517" s="117"/>
      <c r="B517" s="115"/>
      <c r="C517" s="67">
        <v>2021</v>
      </c>
      <c r="D517" s="18">
        <v>0</v>
      </c>
      <c r="E517" s="105">
        <v>0</v>
      </c>
      <c r="F517" s="105"/>
      <c r="G517" s="105"/>
      <c r="H517" s="109">
        <v>0</v>
      </c>
      <c r="I517" s="18">
        <v>0</v>
      </c>
      <c r="J517" s="83"/>
      <c r="K517" s="115"/>
      <c r="L517" s="104"/>
    </row>
    <row r="518" spans="1:12" s="111" customFormat="1" ht="19.5" customHeight="1" hidden="1">
      <c r="A518" s="117"/>
      <c r="B518" s="115"/>
      <c r="C518" s="67">
        <v>2022</v>
      </c>
      <c r="D518" s="18">
        <v>0</v>
      </c>
      <c r="E518" s="105">
        <v>0</v>
      </c>
      <c r="F518" s="105"/>
      <c r="G518" s="105"/>
      <c r="H518" s="109">
        <v>0</v>
      </c>
      <c r="I518" s="18">
        <v>0</v>
      </c>
      <c r="J518" s="83"/>
      <c r="K518" s="115"/>
      <c r="L518" s="104"/>
    </row>
    <row r="519" spans="1:12" s="111" customFormat="1" ht="19.5" customHeight="1" hidden="1">
      <c r="A519" s="117"/>
      <c r="B519" s="115"/>
      <c r="C519" s="67">
        <v>2023</v>
      </c>
      <c r="D519" s="18">
        <v>0</v>
      </c>
      <c r="E519" s="105">
        <v>0</v>
      </c>
      <c r="F519" s="105"/>
      <c r="G519" s="105"/>
      <c r="H519" s="109">
        <v>0</v>
      </c>
      <c r="I519" s="18">
        <v>0</v>
      </c>
      <c r="J519" s="83"/>
      <c r="K519" s="115"/>
      <c r="L519" s="104"/>
    </row>
    <row r="520" spans="1:12" s="111" customFormat="1" ht="19.5" customHeight="1" hidden="1">
      <c r="A520" s="117" t="s">
        <v>219</v>
      </c>
      <c r="B520" s="115" t="s">
        <v>220</v>
      </c>
      <c r="C520" s="67">
        <v>2017</v>
      </c>
      <c r="D520" s="18">
        <v>0</v>
      </c>
      <c r="E520" s="105">
        <v>0</v>
      </c>
      <c r="F520" s="105"/>
      <c r="G520" s="105"/>
      <c r="H520" s="109">
        <v>0</v>
      </c>
      <c r="I520" s="18">
        <v>0</v>
      </c>
      <c r="J520" s="83"/>
      <c r="K520" s="115"/>
      <c r="L520" s="104"/>
    </row>
    <row r="521" spans="1:12" s="111" customFormat="1" ht="19.5" customHeight="1" hidden="1">
      <c r="A521" s="117"/>
      <c r="B521" s="115"/>
      <c r="C521" s="67">
        <v>2018</v>
      </c>
      <c r="D521" s="18">
        <v>0</v>
      </c>
      <c r="E521" s="105">
        <v>0</v>
      </c>
      <c r="F521" s="105"/>
      <c r="G521" s="105"/>
      <c r="H521" s="109">
        <v>0</v>
      </c>
      <c r="I521" s="18">
        <v>0</v>
      </c>
      <c r="J521" s="83"/>
      <c r="K521" s="115"/>
      <c r="L521" s="104"/>
    </row>
    <row r="522" spans="1:12" s="111" customFormat="1" ht="19.5" customHeight="1" hidden="1">
      <c r="A522" s="117"/>
      <c r="B522" s="115"/>
      <c r="C522" s="67">
        <v>2019</v>
      </c>
      <c r="D522" s="18">
        <v>0</v>
      </c>
      <c r="E522" s="105">
        <v>0</v>
      </c>
      <c r="F522" s="105"/>
      <c r="G522" s="105"/>
      <c r="H522" s="109">
        <v>0</v>
      </c>
      <c r="I522" s="18">
        <v>0</v>
      </c>
      <c r="J522" s="83"/>
      <c r="K522" s="115"/>
      <c r="L522" s="104"/>
    </row>
    <row r="523" spans="1:12" s="111" customFormat="1" ht="19.5" customHeight="1" hidden="1">
      <c r="A523" s="117"/>
      <c r="B523" s="115"/>
      <c r="C523" s="67">
        <v>2020</v>
      </c>
      <c r="D523" s="18">
        <f>I523</f>
        <v>0</v>
      </c>
      <c r="E523" s="105">
        <v>0</v>
      </c>
      <c r="F523" s="105"/>
      <c r="G523" s="105"/>
      <c r="H523" s="109">
        <v>0</v>
      </c>
      <c r="I523" s="18">
        <v>0</v>
      </c>
      <c r="J523" s="83"/>
      <c r="K523" s="114" t="s">
        <v>160</v>
      </c>
      <c r="L523" s="104"/>
    </row>
    <row r="524" spans="1:12" s="111" customFormat="1" ht="19.5" customHeight="1" hidden="1">
      <c r="A524" s="117"/>
      <c r="B524" s="115"/>
      <c r="C524" s="67">
        <v>2021</v>
      </c>
      <c r="D524" s="18">
        <v>0</v>
      </c>
      <c r="E524" s="105">
        <v>0</v>
      </c>
      <c r="F524" s="105"/>
      <c r="G524" s="105"/>
      <c r="H524" s="109">
        <v>0</v>
      </c>
      <c r="I524" s="18">
        <v>0</v>
      </c>
      <c r="J524" s="83"/>
      <c r="K524" s="115"/>
      <c r="L524" s="104"/>
    </row>
    <row r="525" spans="1:12" s="111" customFormat="1" ht="19.5" customHeight="1" hidden="1">
      <c r="A525" s="117"/>
      <c r="B525" s="115"/>
      <c r="C525" s="67">
        <v>2022</v>
      </c>
      <c r="D525" s="18">
        <v>0</v>
      </c>
      <c r="E525" s="105">
        <v>0</v>
      </c>
      <c r="F525" s="105"/>
      <c r="G525" s="105"/>
      <c r="H525" s="109">
        <v>0</v>
      </c>
      <c r="I525" s="18">
        <v>0</v>
      </c>
      <c r="J525" s="83"/>
      <c r="K525" s="115"/>
      <c r="L525" s="104"/>
    </row>
    <row r="526" spans="1:12" s="111" customFormat="1" ht="19.5" customHeight="1" hidden="1">
      <c r="A526" s="117"/>
      <c r="B526" s="115"/>
      <c r="C526" s="67">
        <v>2023</v>
      </c>
      <c r="D526" s="18">
        <v>0</v>
      </c>
      <c r="E526" s="105">
        <v>0</v>
      </c>
      <c r="F526" s="105"/>
      <c r="G526" s="105"/>
      <c r="H526" s="109">
        <v>0</v>
      </c>
      <c r="I526" s="18">
        <v>0</v>
      </c>
      <c r="J526" s="83"/>
      <c r="K526" s="115"/>
      <c r="L526" s="104"/>
    </row>
    <row r="527" spans="1:12" s="111" customFormat="1" ht="19.5" customHeight="1" hidden="1">
      <c r="A527" s="117" t="s">
        <v>221</v>
      </c>
      <c r="B527" s="115" t="s">
        <v>222</v>
      </c>
      <c r="C527" s="67">
        <v>2017</v>
      </c>
      <c r="D527" s="18">
        <v>0</v>
      </c>
      <c r="E527" s="105">
        <v>0</v>
      </c>
      <c r="F527" s="105"/>
      <c r="G527" s="105"/>
      <c r="H527" s="109">
        <v>0</v>
      </c>
      <c r="I527" s="18">
        <v>0</v>
      </c>
      <c r="J527" s="83"/>
      <c r="K527" s="115"/>
      <c r="L527" s="104"/>
    </row>
    <row r="528" spans="1:12" s="111" customFormat="1" ht="19.5" customHeight="1" hidden="1">
      <c r="A528" s="117"/>
      <c r="B528" s="115"/>
      <c r="C528" s="67">
        <v>2018</v>
      </c>
      <c r="D528" s="18">
        <v>0</v>
      </c>
      <c r="E528" s="105">
        <v>0</v>
      </c>
      <c r="F528" s="105"/>
      <c r="G528" s="105"/>
      <c r="H528" s="109">
        <v>0</v>
      </c>
      <c r="I528" s="18">
        <v>0</v>
      </c>
      <c r="J528" s="83"/>
      <c r="K528" s="115"/>
      <c r="L528" s="104"/>
    </row>
    <row r="529" spans="1:12" s="111" customFormat="1" ht="19.5" customHeight="1" hidden="1">
      <c r="A529" s="117"/>
      <c r="B529" s="115"/>
      <c r="C529" s="67">
        <v>2019</v>
      </c>
      <c r="D529" s="18">
        <v>0</v>
      </c>
      <c r="E529" s="105">
        <v>0</v>
      </c>
      <c r="F529" s="105"/>
      <c r="G529" s="105"/>
      <c r="H529" s="109">
        <v>0</v>
      </c>
      <c r="I529" s="18">
        <v>0</v>
      </c>
      <c r="J529" s="83"/>
      <c r="K529" s="115"/>
      <c r="L529" s="104"/>
    </row>
    <row r="530" spans="1:12" s="111" customFormat="1" ht="19.5" customHeight="1" hidden="1">
      <c r="A530" s="117"/>
      <c r="B530" s="115"/>
      <c r="C530" s="67">
        <v>2020</v>
      </c>
      <c r="D530" s="18">
        <f>I530</f>
        <v>0</v>
      </c>
      <c r="E530" s="105">
        <v>0</v>
      </c>
      <c r="F530" s="105"/>
      <c r="G530" s="105"/>
      <c r="H530" s="109">
        <v>0</v>
      </c>
      <c r="I530" s="18">
        <v>0</v>
      </c>
      <c r="J530" s="83"/>
      <c r="K530" s="114" t="s">
        <v>160</v>
      </c>
      <c r="L530" s="104"/>
    </row>
    <row r="531" spans="1:12" s="111" customFormat="1" ht="19.5" customHeight="1" hidden="1">
      <c r="A531" s="117"/>
      <c r="B531" s="115"/>
      <c r="C531" s="67">
        <v>2021</v>
      </c>
      <c r="D531" s="18">
        <v>0</v>
      </c>
      <c r="E531" s="105">
        <v>0</v>
      </c>
      <c r="F531" s="105"/>
      <c r="G531" s="105"/>
      <c r="H531" s="109">
        <v>0</v>
      </c>
      <c r="I531" s="18">
        <v>0</v>
      </c>
      <c r="J531" s="83"/>
      <c r="K531" s="115"/>
      <c r="L531" s="104"/>
    </row>
    <row r="532" spans="1:12" s="111" customFormat="1" ht="19.5" customHeight="1" hidden="1">
      <c r="A532" s="117"/>
      <c r="B532" s="115"/>
      <c r="C532" s="67">
        <v>2022</v>
      </c>
      <c r="D532" s="18">
        <v>0</v>
      </c>
      <c r="E532" s="105">
        <v>0</v>
      </c>
      <c r="F532" s="105"/>
      <c r="G532" s="105"/>
      <c r="H532" s="109">
        <v>0</v>
      </c>
      <c r="I532" s="18">
        <v>0</v>
      </c>
      <c r="J532" s="83"/>
      <c r="K532" s="115"/>
      <c r="L532" s="104"/>
    </row>
    <row r="533" spans="1:12" s="111" customFormat="1" ht="19.5" customHeight="1" hidden="1">
      <c r="A533" s="117"/>
      <c r="B533" s="115"/>
      <c r="C533" s="67">
        <v>2023</v>
      </c>
      <c r="D533" s="18">
        <v>0</v>
      </c>
      <c r="E533" s="105">
        <v>0</v>
      </c>
      <c r="F533" s="105"/>
      <c r="G533" s="105"/>
      <c r="H533" s="109">
        <v>0</v>
      </c>
      <c r="I533" s="18">
        <v>0</v>
      </c>
      <c r="J533" s="83"/>
      <c r="K533" s="115"/>
      <c r="L533" s="104"/>
    </row>
    <row r="534" spans="1:12" s="111" customFormat="1" ht="19.5" customHeight="1" hidden="1">
      <c r="A534" s="117" t="s">
        <v>223</v>
      </c>
      <c r="B534" s="115" t="s">
        <v>224</v>
      </c>
      <c r="C534" s="67">
        <v>2017</v>
      </c>
      <c r="D534" s="18">
        <v>0</v>
      </c>
      <c r="E534" s="105">
        <v>0</v>
      </c>
      <c r="F534" s="105"/>
      <c r="G534" s="105"/>
      <c r="H534" s="109">
        <v>0</v>
      </c>
      <c r="I534" s="18">
        <v>0</v>
      </c>
      <c r="J534" s="83"/>
      <c r="K534" s="115"/>
      <c r="L534" s="104"/>
    </row>
    <row r="535" spans="1:12" s="111" customFormat="1" ht="19.5" customHeight="1" hidden="1">
      <c r="A535" s="117"/>
      <c r="B535" s="115"/>
      <c r="C535" s="67">
        <v>2018</v>
      </c>
      <c r="D535" s="18">
        <v>0</v>
      </c>
      <c r="E535" s="105">
        <v>0</v>
      </c>
      <c r="F535" s="105"/>
      <c r="G535" s="105"/>
      <c r="H535" s="109">
        <v>0</v>
      </c>
      <c r="I535" s="18">
        <v>0</v>
      </c>
      <c r="J535" s="83"/>
      <c r="K535" s="115"/>
      <c r="L535" s="104"/>
    </row>
    <row r="536" spans="1:12" s="111" customFormat="1" ht="19.5" customHeight="1" hidden="1">
      <c r="A536" s="117"/>
      <c r="B536" s="115"/>
      <c r="C536" s="67">
        <v>2019</v>
      </c>
      <c r="D536" s="18">
        <v>0</v>
      </c>
      <c r="E536" s="105">
        <v>0</v>
      </c>
      <c r="F536" s="105"/>
      <c r="G536" s="105"/>
      <c r="H536" s="109">
        <v>0</v>
      </c>
      <c r="I536" s="18">
        <v>0</v>
      </c>
      <c r="J536" s="83"/>
      <c r="K536" s="115"/>
      <c r="L536" s="104"/>
    </row>
    <row r="537" spans="1:12" s="111" customFormat="1" ht="19.5" customHeight="1" hidden="1">
      <c r="A537" s="117"/>
      <c r="B537" s="115"/>
      <c r="C537" s="67">
        <v>2020</v>
      </c>
      <c r="D537" s="18">
        <f>I537</f>
        <v>0</v>
      </c>
      <c r="E537" s="105">
        <v>0</v>
      </c>
      <c r="F537" s="105"/>
      <c r="G537" s="105"/>
      <c r="H537" s="109">
        <v>0</v>
      </c>
      <c r="I537" s="18">
        <v>0</v>
      </c>
      <c r="J537" s="83"/>
      <c r="K537" s="114"/>
      <c r="L537" s="104"/>
    </row>
    <row r="538" spans="1:12" s="111" customFormat="1" ht="19.5" customHeight="1" hidden="1">
      <c r="A538" s="117"/>
      <c r="B538" s="115"/>
      <c r="C538" s="67">
        <v>2021</v>
      </c>
      <c r="D538" s="18">
        <v>0</v>
      </c>
      <c r="E538" s="105">
        <v>0</v>
      </c>
      <c r="F538" s="105"/>
      <c r="G538" s="105"/>
      <c r="H538" s="109">
        <v>0</v>
      </c>
      <c r="I538" s="18">
        <v>0</v>
      </c>
      <c r="J538" s="83"/>
      <c r="K538" s="115"/>
      <c r="L538" s="104"/>
    </row>
    <row r="539" spans="1:12" s="111" customFormat="1" ht="19.5" customHeight="1" hidden="1">
      <c r="A539" s="117"/>
      <c r="B539" s="115"/>
      <c r="C539" s="67">
        <v>2022</v>
      </c>
      <c r="D539" s="18">
        <v>0</v>
      </c>
      <c r="E539" s="105">
        <v>0</v>
      </c>
      <c r="F539" s="105"/>
      <c r="G539" s="105"/>
      <c r="H539" s="109">
        <v>0</v>
      </c>
      <c r="I539" s="18">
        <v>0</v>
      </c>
      <c r="J539" s="83"/>
      <c r="K539" s="115"/>
      <c r="L539" s="104"/>
    </row>
    <row r="540" spans="1:12" s="111" customFormat="1" ht="19.5" customHeight="1" hidden="1">
      <c r="A540" s="117"/>
      <c r="B540" s="115"/>
      <c r="C540" s="67">
        <v>2023</v>
      </c>
      <c r="D540" s="18">
        <v>0</v>
      </c>
      <c r="E540" s="105">
        <v>0</v>
      </c>
      <c r="F540" s="105"/>
      <c r="G540" s="105"/>
      <c r="H540" s="109">
        <v>0</v>
      </c>
      <c r="I540" s="18">
        <v>0</v>
      </c>
      <c r="J540" s="83"/>
      <c r="K540" s="115"/>
      <c r="L540" s="104"/>
    </row>
    <row r="541" spans="1:12" s="111" customFormat="1" ht="19.5" customHeight="1">
      <c r="A541" s="117" t="s">
        <v>217</v>
      </c>
      <c r="B541" s="115" t="s">
        <v>225</v>
      </c>
      <c r="C541" s="67">
        <v>2017</v>
      </c>
      <c r="D541" s="18">
        <v>0</v>
      </c>
      <c r="E541" s="105">
        <v>0</v>
      </c>
      <c r="F541" s="105"/>
      <c r="G541" s="105"/>
      <c r="H541" s="109">
        <v>0</v>
      </c>
      <c r="I541" s="18">
        <v>0</v>
      </c>
      <c r="J541" s="83"/>
      <c r="K541" s="115"/>
      <c r="L541" s="104"/>
    </row>
    <row r="542" spans="1:12" s="111" customFormat="1" ht="19.5" customHeight="1">
      <c r="A542" s="117"/>
      <c r="B542" s="115"/>
      <c r="C542" s="67">
        <v>2018</v>
      </c>
      <c r="D542" s="18">
        <v>0</v>
      </c>
      <c r="E542" s="105">
        <v>0</v>
      </c>
      <c r="F542" s="105"/>
      <c r="G542" s="105"/>
      <c r="H542" s="109">
        <v>0</v>
      </c>
      <c r="I542" s="18">
        <v>0</v>
      </c>
      <c r="J542" s="83"/>
      <c r="K542" s="115"/>
      <c r="L542" s="104"/>
    </row>
    <row r="543" spans="1:12" s="111" customFormat="1" ht="19.5" customHeight="1">
      <c r="A543" s="117"/>
      <c r="B543" s="115"/>
      <c r="C543" s="67">
        <v>2019</v>
      </c>
      <c r="D543" s="18">
        <v>0</v>
      </c>
      <c r="E543" s="105">
        <v>0</v>
      </c>
      <c r="F543" s="105"/>
      <c r="G543" s="105"/>
      <c r="H543" s="109">
        <v>0</v>
      </c>
      <c r="I543" s="18">
        <v>0</v>
      </c>
      <c r="J543" s="83"/>
      <c r="K543" s="115"/>
      <c r="L543" s="104"/>
    </row>
    <row r="544" spans="1:12" s="111" customFormat="1" ht="19.5" customHeight="1">
      <c r="A544" s="117"/>
      <c r="B544" s="115"/>
      <c r="C544" s="67">
        <v>2020</v>
      </c>
      <c r="D544" s="18">
        <f>I544</f>
        <v>730</v>
      </c>
      <c r="E544" s="105">
        <v>0</v>
      </c>
      <c r="F544" s="105"/>
      <c r="G544" s="105"/>
      <c r="H544" s="109">
        <v>0</v>
      </c>
      <c r="I544" s="18">
        <v>730</v>
      </c>
      <c r="J544" s="83"/>
      <c r="K544" s="115" t="s">
        <v>226</v>
      </c>
      <c r="L544" s="104"/>
    </row>
    <row r="545" spans="1:12" s="111" customFormat="1" ht="19.5" customHeight="1">
      <c r="A545" s="117"/>
      <c r="B545" s="115"/>
      <c r="C545" s="67">
        <v>2021</v>
      </c>
      <c r="D545" s="18">
        <v>0</v>
      </c>
      <c r="E545" s="105">
        <v>0</v>
      </c>
      <c r="F545" s="105"/>
      <c r="G545" s="105"/>
      <c r="H545" s="109">
        <v>0</v>
      </c>
      <c r="I545" s="18">
        <v>0</v>
      </c>
      <c r="J545" s="83"/>
      <c r="K545" s="115"/>
      <c r="L545" s="104"/>
    </row>
    <row r="546" spans="1:12" s="111" customFormat="1" ht="19.5" customHeight="1">
      <c r="A546" s="117"/>
      <c r="B546" s="115"/>
      <c r="C546" s="67">
        <v>2022</v>
      </c>
      <c r="D546" s="18">
        <v>0</v>
      </c>
      <c r="E546" s="105">
        <v>0</v>
      </c>
      <c r="F546" s="105"/>
      <c r="G546" s="105"/>
      <c r="H546" s="109">
        <v>0</v>
      </c>
      <c r="I546" s="18">
        <v>0</v>
      </c>
      <c r="J546" s="83"/>
      <c r="K546" s="115"/>
      <c r="L546" s="104"/>
    </row>
    <row r="547" spans="1:12" s="111" customFormat="1" ht="19.5" customHeight="1">
      <c r="A547" s="117"/>
      <c r="B547" s="115"/>
      <c r="C547" s="67">
        <v>2023</v>
      </c>
      <c r="D547" s="18">
        <v>0</v>
      </c>
      <c r="E547" s="105">
        <v>0</v>
      </c>
      <c r="F547" s="105"/>
      <c r="G547" s="105"/>
      <c r="H547" s="109">
        <v>0</v>
      </c>
      <c r="I547" s="18">
        <v>0</v>
      </c>
      <c r="J547" s="83"/>
      <c r="K547" s="115"/>
      <c r="L547" s="104"/>
    </row>
    <row r="548" spans="1:12" s="111" customFormat="1" ht="19.5" customHeight="1">
      <c r="A548" s="117" t="s">
        <v>219</v>
      </c>
      <c r="B548" s="115" t="s">
        <v>227</v>
      </c>
      <c r="C548" s="67">
        <v>2017</v>
      </c>
      <c r="D548" s="18">
        <v>0</v>
      </c>
      <c r="E548" s="105">
        <v>0</v>
      </c>
      <c r="F548" s="105"/>
      <c r="G548" s="105"/>
      <c r="H548" s="109">
        <v>0</v>
      </c>
      <c r="I548" s="18">
        <v>0</v>
      </c>
      <c r="J548" s="83"/>
      <c r="K548" s="115"/>
      <c r="L548" s="104"/>
    </row>
    <row r="549" spans="1:12" s="111" customFormat="1" ht="19.5" customHeight="1">
      <c r="A549" s="117"/>
      <c r="B549" s="115"/>
      <c r="C549" s="67">
        <v>2018</v>
      </c>
      <c r="D549" s="18">
        <v>0</v>
      </c>
      <c r="E549" s="105">
        <v>0</v>
      </c>
      <c r="F549" s="105"/>
      <c r="G549" s="105"/>
      <c r="H549" s="109">
        <v>0</v>
      </c>
      <c r="I549" s="18">
        <v>0</v>
      </c>
      <c r="J549" s="83"/>
      <c r="K549" s="115"/>
      <c r="L549" s="104"/>
    </row>
    <row r="550" spans="1:12" s="111" customFormat="1" ht="19.5" customHeight="1">
      <c r="A550" s="117"/>
      <c r="B550" s="115"/>
      <c r="C550" s="67">
        <v>2019</v>
      </c>
      <c r="D550" s="18">
        <v>0</v>
      </c>
      <c r="E550" s="105">
        <v>0</v>
      </c>
      <c r="F550" s="105"/>
      <c r="G550" s="105"/>
      <c r="H550" s="109">
        <v>0</v>
      </c>
      <c r="I550" s="18">
        <v>0</v>
      </c>
      <c r="J550" s="83"/>
      <c r="K550" s="115"/>
      <c r="L550" s="104"/>
    </row>
    <row r="551" spans="1:12" s="111" customFormat="1" ht="19.5" customHeight="1">
      <c r="A551" s="117"/>
      <c r="B551" s="115"/>
      <c r="C551" s="67">
        <v>2020</v>
      </c>
      <c r="D551" s="18">
        <f>I551</f>
        <v>270</v>
      </c>
      <c r="E551" s="105">
        <v>0</v>
      </c>
      <c r="F551" s="105"/>
      <c r="G551" s="105"/>
      <c r="H551" s="109">
        <v>0</v>
      </c>
      <c r="I551" s="18">
        <f>270</f>
        <v>270</v>
      </c>
      <c r="J551" s="83"/>
      <c r="K551" s="115" t="s">
        <v>226</v>
      </c>
      <c r="L551" s="104"/>
    </row>
    <row r="552" spans="1:12" s="111" customFormat="1" ht="19.5" customHeight="1">
      <c r="A552" s="117"/>
      <c r="B552" s="115"/>
      <c r="C552" s="67">
        <v>2021</v>
      </c>
      <c r="D552" s="18">
        <v>0</v>
      </c>
      <c r="E552" s="105">
        <v>0</v>
      </c>
      <c r="F552" s="105"/>
      <c r="G552" s="105"/>
      <c r="H552" s="109">
        <v>0</v>
      </c>
      <c r="I552" s="18">
        <v>52.342</v>
      </c>
      <c r="J552" s="83"/>
      <c r="K552" s="115"/>
      <c r="L552" s="104"/>
    </row>
    <row r="553" spans="1:12" s="111" customFormat="1" ht="19.5" customHeight="1">
      <c r="A553" s="117"/>
      <c r="B553" s="115"/>
      <c r="C553" s="67">
        <v>2022</v>
      </c>
      <c r="D553" s="18">
        <v>0</v>
      </c>
      <c r="E553" s="105">
        <v>0</v>
      </c>
      <c r="F553" s="105"/>
      <c r="G553" s="105"/>
      <c r="H553" s="109">
        <v>0</v>
      </c>
      <c r="I553" s="18">
        <v>0</v>
      </c>
      <c r="J553" s="83"/>
      <c r="K553" s="115"/>
      <c r="L553" s="104"/>
    </row>
    <row r="554" spans="1:12" s="111" customFormat="1" ht="19.5" customHeight="1">
      <c r="A554" s="117"/>
      <c r="B554" s="115"/>
      <c r="C554" s="67">
        <v>2023</v>
      </c>
      <c r="D554" s="18">
        <v>0</v>
      </c>
      <c r="E554" s="105">
        <v>0</v>
      </c>
      <c r="F554" s="105"/>
      <c r="G554" s="105"/>
      <c r="H554" s="109">
        <v>0</v>
      </c>
      <c r="I554" s="18">
        <v>0</v>
      </c>
      <c r="J554" s="83"/>
      <c r="K554" s="115"/>
      <c r="L554" s="104"/>
    </row>
    <row r="555" spans="1:12" s="111" customFormat="1" ht="19.5" customHeight="1">
      <c r="A555" s="117" t="s">
        <v>221</v>
      </c>
      <c r="B555" s="115" t="s">
        <v>228</v>
      </c>
      <c r="C555" s="67">
        <v>2017</v>
      </c>
      <c r="D555" s="18">
        <v>0</v>
      </c>
      <c r="E555" s="105">
        <v>0</v>
      </c>
      <c r="F555" s="105"/>
      <c r="G555" s="105"/>
      <c r="H555" s="109">
        <v>0</v>
      </c>
      <c r="I555" s="18">
        <v>0</v>
      </c>
      <c r="J555" s="83"/>
      <c r="K555" s="115"/>
      <c r="L555" s="104"/>
    </row>
    <row r="556" spans="1:12" s="111" customFormat="1" ht="19.5" customHeight="1">
      <c r="A556" s="117"/>
      <c r="B556" s="115"/>
      <c r="C556" s="67">
        <v>2018</v>
      </c>
      <c r="D556" s="18">
        <v>0</v>
      </c>
      <c r="E556" s="105">
        <v>0</v>
      </c>
      <c r="F556" s="105"/>
      <c r="G556" s="105"/>
      <c r="H556" s="109">
        <v>0</v>
      </c>
      <c r="I556" s="18">
        <v>0</v>
      </c>
      <c r="J556" s="83"/>
      <c r="K556" s="115"/>
      <c r="L556" s="104"/>
    </row>
    <row r="557" spans="1:12" s="111" customFormat="1" ht="19.5" customHeight="1">
      <c r="A557" s="117"/>
      <c r="B557" s="115"/>
      <c r="C557" s="67">
        <v>2019</v>
      </c>
      <c r="D557" s="18">
        <v>0</v>
      </c>
      <c r="E557" s="105">
        <v>0</v>
      </c>
      <c r="F557" s="105"/>
      <c r="G557" s="105"/>
      <c r="H557" s="109">
        <v>0</v>
      </c>
      <c r="I557" s="18">
        <v>0</v>
      </c>
      <c r="J557" s="83"/>
      <c r="K557" s="115"/>
      <c r="L557" s="104"/>
    </row>
    <row r="558" spans="1:12" s="111" customFormat="1" ht="19.5" customHeight="1">
      <c r="A558" s="117"/>
      <c r="B558" s="115"/>
      <c r="C558" s="67">
        <v>2020</v>
      </c>
      <c r="D558" s="18">
        <f>I558</f>
        <v>103.99</v>
      </c>
      <c r="E558" s="105">
        <v>0</v>
      </c>
      <c r="F558" s="105"/>
      <c r="G558" s="105"/>
      <c r="H558" s="109">
        <v>0</v>
      </c>
      <c r="I558" s="18">
        <v>103.99</v>
      </c>
      <c r="J558" s="83"/>
      <c r="K558" s="115" t="s">
        <v>169</v>
      </c>
      <c r="L558" s="104"/>
    </row>
    <row r="559" spans="1:12" s="111" customFormat="1" ht="19.5" customHeight="1">
      <c r="A559" s="117"/>
      <c r="B559" s="115"/>
      <c r="C559" s="67">
        <v>2021</v>
      </c>
      <c r="D559" s="18">
        <v>0</v>
      </c>
      <c r="E559" s="105">
        <v>0</v>
      </c>
      <c r="F559" s="105"/>
      <c r="G559" s="105"/>
      <c r="H559" s="109">
        <v>0</v>
      </c>
      <c r="I559" s="18">
        <v>0</v>
      </c>
      <c r="J559" s="83"/>
      <c r="K559" s="115"/>
      <c r="L559" s="104"/>
    </row>
    <row r="560" spans="1:12" s="111" customFormat="1" ht="19.5" customHeight="1">
      <c r="A560" s="117"/>
      <c r="B560" s="115"/>
      <c r="C560" s="67">
        <v>2022</v>
      </c>
      <c r="D560" s="18">
        <v>0</v>
      </c>
      <c r="E560" s="105">
        <v>0</v>
      </c>
      <c r="F560" s="105"/>
      <c r="G560" s="105"/>
      <c r="H560" s="109">
        <v>0</v>
      </c>
      <c r="I560" s="18">
        <v>0</v>
      </c>
      <c r="J560" s="83"/>
      <c r="K560" s="115"/>
      <c r="L560" s="104"/>
    </row>
    <row r="561" spans="1:12" s="111" customFormat="1" ht="19.5" customHeight="1">
      <c r="A561" s="117"/>
      <c r="B561" s="115"/>
      <c r="C561" s="67">
        <v>2023</v>
      </c>
      <c r="D561" s="18">
        <v>0</v>
      </c>
      <c r="E561" s="105">
        <v>0</v>
      </c>
      <c r="F561" s="105"/>
      <c r="G561" s="105"/>
      <c r="H561" s="109">
        <v>0</v>
      </c>
      <c r="I561" s="18">
        <v>0</v>
      </c>
      <c r="J561" s="83"/>
      <c r="K561" s="115"/>
      <c r="L561" s="104"/>
    </row>
    <row r="562" spans="1:12" s="111" customFormat="1" ht="19.5" customHeight="1">
      <c r="A562" s="117" t="s">
        <v>223</v>
      </c>
      <c r="B562" s="115" t="s">
        <v>229</v>
      </c>
      <c r="C562" s="67">
        <v>2017</v>
      </c>
      <c r="D562" s="18">
        <v>0</v>
      </c>
      <c r="E562" s="105">
        <v>0</v>
      </c>
      <c r="F562" s="105"/>
      <c r="G562" s="105"/>
      <c r="H562" s="109">
        <v>0</v>
      </c>
      <c r="I562" s="18">
        <v>0</v>
      </c>
      <c r="J562" s="83"/>
      <c r="K562" s="115"/>
      <c r="L562" s="104"/>
    </row>
    <row r="563" spans="1:12" s="111" customFormat="1" ht="19.5" customHeight="1">
      <c r="A563" s="117"/>
      <c r="B563" s="115"/>
      <c r="C563" s="67">
        <v>2018</v>
      </c>
      <c r="D563" s="18">
        <v>0</v>
      </c>
      <c r="E563" s="105">
        <v>0</v>
      </c>
      <c r="F563" s="105"/>
      <c r="G563" s="105"/>
      <c r="H563" s="109">
        <v>0</v>
      </c>
      <c r="I563" s="18">
        <v>0</v>
      </c>
      <c r="J563" s="83"/>
      <c r="K563" s="115"/>
      <c r="L563" s="104"/>
    </row>
    <row r="564" spans="1:12" s="111" customFormat="1" ht="19.5" customHeight="1">
      <c r="A564" s="117"/>
      <c r="B564" s="115"/>
      <c r="C564" s="67">
        <v>2019</v>
      </c>
      <c r="D564" s="18">
        <v>0</v>
      </c>
      <c r="E564" s="105">
        <v>0</v>
      </c>
      <c r="F564" s="105"/>
      <c r="G564" s="105"/>
      <c r="H564" s="109">
        <v>0</v>
      </c>
      <c r="I564" s="18">
        <v>0</v>
      </c>
      <c r="J564" s="83"/>
      <c r="K564" s="115"/>
      <c r="L564" s="104"/>
    </row>
    <row r="565" spans="1:12" s="111" customFormat="1" ht="19.5" customHeight="1">
      <c r="A565" s="117"/>
      <c r="B565" s="115"/>
      <c r="C565" s="67">
        <v>2020</v>
      </c>
      <c r="D565" s="18">
        <f>I565</f>
        <v>71</v>
      </c>
      <c r="E565" s="105">
        <v>0</v>
      </c>
      <c r="F565" s="105"/>
      <c r="G565" s="105"/>
      <c r="H565" s="109">
        <v>0</v>
      </c>
      <c r="I565" s="18">
        <f>25+4+40+2</f>
        <v>71</v>
      </c>
      <c r="J565" s="83"/>
      <c r="K565" s="115" t="s">
        <v>206</v>
      </c>
      <c r="L565" s="104"/>
    </row>
    <row r="566" spans="1:12" s="111" customFormat="1" ht="19.5" customHeight="1">
      <c r="A566" s="117"/>
      <c r="B566" s="115"/>
      <c r="C566" s="67">
        <v>2021</v>
      </c>
      <c r="D566" s="18">
        <v>0</v>
      </c>
      <c r="E566" s="105">
        <v>0</v>
      </c>
      <c r="F566" s="105"/>
      <c r="G566" s="105"/>
      <c r="H566" s="109">
        <v>0</v>
      </c>
      <c r="I566" s="18">
        <v>0</v>
      </c>
      <c r="J566" s="83"/>
      <c r="K566" s="115"/>
      <c r="L566" s="104"/>
    </row>
    <row r="567" spans="1:12" s="111" customFormat="1" ht="19.5" customHeight="1">
      <c r="A567" s="117"/>
      <c r="B567" s="115"/>
      <c r="C567" s="67">
        <v>2022</v>
      </c>
      <c r="D567" s="18">
        <v>0</v>
      </c>
      <c r="E567" s="105">
        <v>0</v>
      </c>
      <c r="F567" s="105"/>
      <c r="G567" s="105"/>
      <c r="H567" s="109">
        <v>0</v>
      </c>
      <c r="I567" s="18">
        <v>0</v>
      </c>
      <c r="J567" s="83"/>
      <c r="K567" s="115"/>
      <c r="L567" s="104"/>
    </row>
    <row r="568" spans="1:12" s="111" customFormat="1" ht="19.5" customHeight="1">
      <c r="A568" s="117"/>
      <c r="B568" s="115"/>
      <c r="C568" s="67">
        <v>2023</v>
      </c>
      <c r="D568" s="18">
        <v>0</v>
      </c>
      <c r="E568" s="105">
        <v>0</v>
      </c>
      <c r="F568" s="105"/>
      <c r="G568" s="105"/>
      <c r="H568" s="109">
        <v>0</v>
      </c>
      <c r="I568" s="18">
        <v>0</v>
      </c>
      <c r="J568" s="83"/>
      <c r="K568" s="115"/>
      <c r="L568" s="104"/>
    </row>
    <row r="569" spans="1:12" s="111" customFormat="1" ht="19.5" customHeight="1">
      <c r="A569" s="117" t="s">
        <v>230</v>
      </c>
      <c r="B569" s="115" t="s">
        <v>231</v>
      </c>
      <c r="C569" s="67">
        <v>2017</v>
      </c>
      <c r="D569" s="18">
        <v>0</v>
      </c>
      <c r="E569" s="105">
        <v>0</v>
      </c>
      <c r="F569" s="105"/>
      <c r="G569" s="105"/>
      <c r="H569" s="109">
        <v>0</v>
      </c>
      <c r="I569" s="18">
        <v>0</v>
      </c>
      <c r="J569" s="83"/>
      <c r="K569" s="115"/>
      <c r="L569" s="104"/>
    </row>
    <row r="570" spans="1:12" s="111" customFormat="1" ht="19.5" customHeight="1">
      <c r="A570" s="117"/>
      <c r="B570" s="115"/>
      <c r="C570" s="67">
        <v>2018</v>
      </c>
      <c r="D570" s="18">
        <v>0</v>
      </c>
      <c r="E570" s="105">
        <v>0</v>
      </c>
      <c r="F570" s="105"/>
      <c r="G570" s="105"/>
      <c r="H570" s="109">
        <v>0</v>
      </c>
      <c r="I570" s="18">
        <v>0</v>
      </c>
      <c r="J570" s="83"/>
      <c r="K570" s="115"/>
      <c r="L570" s="104"/>
    </row>
    <row r="571" spans="1:12" s="111" customFormat="1" ht="19.5" customHeight="1">
      <c r="A571" s="117"/>
      <c r="B571" s="115"/>
      <c r="C571" s="67">
        <v>2019</v>
      </c>
      <c r="D571" s="18">
        <v>0</v>
      </c>
      <c r="E571" s="105">
        <v>0</v>
      </c>
      <c r="F571" s="105"/>
      <c r="G571" s="105"/>
      <c r="H571" s="109">
        <v>0</v>
      </c>
      <c r="I571" s="18">
        <v>0</v>
      </c>
      <c r="J571" s="83"/>
      <c r="K571" s="115"/>
      <c r="L571" s="104"/>
    </row>
    <row r="572" spans="1:12" s="111" customFormat="1" ht="19.5" customHeight="1">
      <c r="A572" s="117"/>
      <c r="B572" s="115"/>
      <c r="C572" s="67">
        <v>2020</v>
      </c>
      <c r="D572" s="18">
        <f aca="true" t="shared" si="48" ref="D572:D573">I572</f>
        <v>563.8043</v>
      </c>
      <c r="E572" s="105">
        <v>0</v>
      </c>
      <c r="F572" s="105"/>
      <c r="G572" s="105"/>
      <c r="H572" s="109">
        <v>0</v>
      </c>
      <c r="I572" s="18">
        <f>773.323-200.353-9.1657</f>
        <v>563.8043</v>
      </c>
      <c r="J572" s="83"/>
      <c r="K572" s="115" t="s">
        <v>172</v>
      </c>
      <c r="L572" s="104"/>
    </row>
    <row r="573" spans="1:12" s="111" customFormat="1" ht="19.5" customHeight="1">
      <c r="A573" s="117"/>
      <c r="B573" s="115"/>
      <c r="C573" s="67">
        <v>2021</v>
      </c>
      <c r="D573" s="18">
        <f t="shared" si="48"/>
        <v>0</v>
      </c>
      <c r="E573" s="105">
        <v>0</v>
      </c>
      <c r="F573" s="105"/>
      <c r="G573" s="105"/>
      <c r="H573" s="109">
        <v>0</v>
      </c>
      <c r="I573" s="18">
        <v>0</v>
      </c>
      <c r="J573" s="83"/>
      <c r="K573" s="118"/>
      <c r="L573" s="104"/>
    </row>
    <row r="574" spans="1:12" s="111" customFormat="1" ht="19.5" customHeight="1">
      <c r="A574" s="117"/>
      <c r="B574" s="115"/>
      <c r="C574" s="67">
        <v>2022</v>
      </c>
      <c r="D574" s="18">
        <v>0</v>
      </c>
      <c r="E574" s="105">
        <v>0</v>
      </c>
      <c r="F574" s="105"/>
      <c r="G574" s="105"/>
      <c r="H574" s="109">
        <v>0</v>
      </c>
      <c r="I574" s="18">
        <f>484.927+591.612</f>
        <v>1076.539</v>
      </c>
      <c r="J574" s="83"/>
      <c r="K574" s="115" t="s">
        <v>172</v>
      </c>
      <c r="L574" s="104"/>
    </row>
    <row r="575" spans="1:12" s="111" customFormat="1" ht="19.5" customHeight="1">
      <c r="A575" s="117"/>
      <c r="B575" s="115"/>
      <c r="C575" s="67">
        <v>2023</v>
      </c>
      <c r="D575" s="18">
        <v>0</v>
      </c>
      <c r="E575" s="105">
        <v>0</v>
      </c>
      <c r="F575" s="105"/>
      <c r="G575" s="105"/>
      <c r="H575" s="109">
        <v>0</v>
      </c>
      <c r="I575" s="18">
        <v>0</v>
      </c>
      <c r="J575" s="83"/>
      <c r="K575" s="115"/>
      <c r="L575" s="104"/>
    </row>
    <row r="576" spans="1:12" s="111" customFormat="1" ht="19.5" customHeight="1">
      <c r="A576" s="117">
        <v>19025</v>
      </c>
      <c r="B576" s="115" t="s">
        <v>232</v>
      </c>
      <c r="C576" s="67">
        <v>2017</v>
      </c>
      <c r="D576" s="18">
        <v>0</v>
      </c>
      <c r="E576" s="105">
        <v>0</v>
      </c>
      <c r="F576" s="105"/>
      <c r="G576" s="105"/>
      <c r="H576" s="109">
        <v>0</v>
      </c>
      <c r="I576" s="18">
        <v>0</v>
      </c>
      <c r="J576" s="83"/>
      <c r="K576" s="115"/>
      <c r="L576" s="104"/>
    </row>
    <row r="577" spans="1:12" s="111" customFormat="1" ht="19.5" customHeight="1">
      <c r="A577" s="117"/>
      <c r="B577" s="115"/>
      <c r="C577" s="67">
        <v>2018</v>
      </c>
      <c r="D577" s="18">
        <v>0</v>
      </c>
      <c r="E577" s="105">
        <v>0</v>
      </c>
      <c r="F577" s="105"/>
      <c r="G577" s="105"/>
      <c r="H577" s="109">
        <v>0</v>
      </c>
      <c r="I577" s="18">
        <v>0</v>
      </c>
      <c r="J577" s="83"/>
      <c r="K577" s="115"/>
      <c r="L577" s="104"/>
    </row>
    <row r="578" spans="1:12" s="111" customFormat="1" ht="19.5" customHeight="1">
      <c r="A578" s="117"/>
      <c r="B578" s="115"/>
      <c r="C578" s="67">
        <v>2019</v>
      </c>
      <c r="D578" s="18">
        <v>0</v>
      </c>
      <c r="E578" s="105">
        <v>0</v>
      </c>
      <c r="F578" s="105"/>
      <c r="G578" s="105"/>
      <c r="H578" s="109">
        <v>0</v>
      </c>
      <c r="I578" s="18">
        <v>0</v>
      </c>
      <c r="J578" s="83"/>
      <c r="K578" s="115"/>
      <c r="L578" s="104"/>
    </row>
    <row r="579" spans="1:12" s="111" customFormat="1" ht="19.5" customHeight="1">
      <c r="A579" s="117"/>
      <c r="B579" s="115"/>
      <c r="C579" s="67">
        <v>2020</v>
      </c>
      <c r="D579" s="18">
        <f>I579</f>
        <v>1398.7672</v>
      </c>
      <c r="E579" s="105">
        <v>0</v>
      </c>
      <c r="F579" s="105"/>
      <c r="G579" s="105"/>
      <c r="H579" s="109">
        <v>0</v>
      </c>
      <c r="I579" s="18">
        <f>1214.677+200.353-16.2628</f>
        <v>1398.7672</v>
      </c>
      <c r="J579" s="83"/>
      <c r="K579" s="115" t="s">
        <v>172</v>
      </c>
      <c r="L579" s="104"/>
    </row>
    <row r="580" spans="1:12" s="111" customFormat="1" ht="19.5" customHeight="1">
      <c r="A580" s="117"/>
      <c r="B580" s="115"/>
      <c r="C580" s="67">
        <v>2021</v>
      </c>
      <c r="D580" s="18">
        <v>0</v>
      </c>
      <c r="E580" s="105">
        <v>0</v>
      </c>
      <c r="F580" s="105"/>
      <c r="G580" s="105"/>
      <c r="H580" s="109">
        <v>0</v>
      </c>
      <c r="I580" s="18">
        <v>0</v>
      </c>
      <c r="J580" s="83"/>
      <c r="K580" s="115"/>
      <c r="L580" s="104"/>
    </row>
    <row r="581" spans="1:12" s="111" customFormat="1" ht="19.5" customHeight="1">
      <c r="A581" s="117"/>
      <c r="B581" s="115"/>
      <c r="C581" s="67">
        <v>2022</v>
      </c>
      <c r="D581" s="18">
        <v>0</v>
      </c>
      <c r="E581" s="105">
        <v>0</v>
      </c>
      <c r="F581" s="105"/>
      <c r="G581" s="105"/>
      <c r="H581" s="109">
        <v>0</v>
      </c>
      <c r="I581" s="18">
        <v>0</v>
      </c>
      <c r="J581" s="83"/>
      <c r="K581" s="115"/>
      <c r="L581" s="104"/>
    </row>
    <row r="582" spans="1:12" s="111" customFormat="1" ht="19.5" customHeight="1">
      <c r="A582" s="117"/>
      <c r="B582" s="115"/>
      <c r="C582" s="67">
        <v>2023</v>
      </c>
      <c r="D582" s="18">
        <v>0</v>
      </c>
      <c r="E582" s="105">
        <v>0</v>
      </c>
      <c r="F582" s="105"/>
      <c r="G582" s="105"/>
      <c r="H582" s="109">
        <v>0</v>
      </c>
      <c r="I582" s="18">
        <v>0</v>
      </c>
      <c r="J582" s="83"/>
      <c r="K582" s="115"/>
      <c r="L582" s="104"/>
    </row>
    <row r="583" spans="1:12" s="111" customFormat="1" ht="19.5" customHeight="1">
      <c r="A583" s="117" t="s">
        <v>233</v>
      </c>
      <c r="B583" s="115" t="s">
        <v>234</v>
      </c>
      <c r="C583" s="67">
        <v>2017</v>
      </c>
      <c r="D583" s="18">
        <v>0</v>
      </c>
      <c r="E583" s="105">
        <v>0</v>
      </c>
      <c r="F583" s="105"/>
      <c r="G583" s="105"/>
      <c r="H583" s="109">
        <v>0</v>
      </c>
      <c r="I583" s="18">
        <v>0</v>
      </c>
      <c r="J583" s="83"/>
      <c r="K583" s="115"/>
      <c r="L583" s="104"/>
    </row>
    <row r="584" spans="1:12" s="111" customFormat="1" ht="19.5" customHeight="1">
      <c r="A584" s="117"/>
      <c r="B584" s="115"/>
      <c r="C584" s="67">
        <v>2018</v>
      </c>
      <c r="D584" s="18">
        <v>0</v>
      </c>
      <c r="E584" s="105">
        <v>0</v>
      </c>
      <c r="F584" s="105"/>
      <c r="G584" s="105"/>
      <c r="H584" s="109">
        <v>0</v>
      </c>
      <c r="I584" s="18">
        <v>0</v>
      </c>
      <c r="J584" s="83"/>
      <c r="K584" s="115"/>
      <c r="L584" s="104"/>
    </row>
    <row r="585" spans="1:12" s="111" customFormat="1" ht="19.5" customHeight="1">
      <c r="A585" s="117"/>
      <c r="B585" s="115"/>
      <c r="C585" s="67">
        <v>2019</v>
      </c>
      <c r="D585" s="18">
        <v>0</v>
      </c>
      <c r="E585" s="105">
        <v>0</v>
      </c>
      <c r="F585" s="105"/>
      <c r="G585" s="105"/>
      <c r="H585" s="109">
        <v>0</v>
      </c>
      <c r="I585" s="18">
        <v>0</v>
      </c>
      <c r="J585" s="83"/>
      <c r="K585" s="115"/>
      <c r="L585" s="104"/>
    </row>
    <row r="586" spans="1:12" s="111" customFormat="1" ht="19.5" customHeight="1">
      <c r="A586" s="117"/>
      <c r="B586" s="115"/>
      <c r="C586" s="67">
        <v>2020</v>
      </c>
      <c r="D586" s="18">
        <f>I586</f>
        <v>427.256</v>
      </c>
      <c r="E586" s="105">
        <v>0</v>
      </c>
      <c r="F586" s="105"/>
      <c r="G586" s="105"/>
      <c r="H586" s="109">
        <v>0</v>
      </c>
      <c r="I586" s="18">
        <v>427.256</v>
      </c>
      <c r="J586" s="83"/>
      <c r="K586" s="115" t="s">
        <v>235</v>
      </c>
      <c r="L586" s="104"/>
    </row>
    <row r="587" spans="1:12" s="111" customFormat="1" ht="19.5" customHeight="1">
      <c r="A587" s="117"/>
      <c r="B587" s="115"/>
      <c r="C587" s="67">
        <v>2021</v>
      </c>
      <c r="D587" s="18">
        <v>0</v>
      </c>
      <c r="E587" s="105">
        <v>0</v>
      </c>
      <c r="F587" s="105"/>
      <c r="G587" s="105"/>
      <c r="H587" s="109">
        <v>0</v>
      </c>
      <c r="I587" s="18">
        <v>0</v>
      </c>
      <c r="J587" s="83"/>
      <c r="K587" s="115"/>
      <c r="L587" s="104"/>
    </row>
    <row r="588" spans="1:12" s="111" customFormat="1" ht="19.5" customHeight="1">
      <c r="A588" s="117"/>
      <c r="B588" s="115"/>
      <c r="C588" s="67">
        <v>2022</v>
      </c>
      <c r="D588" s="18">
        <v>0</v>
      </c>
      <c r="E588" s="105">
        <v>0</v>
      </c>
      <c r="F588" s="105"/>
      <c r="G588" s="105"/>
      <c r="H588" s="109">
        <v>0</v>
      </c>
      <c r="I588" s="18">
        <v>0</v>
      </c>
      <c r="J588" s="83"/>
      <c r="K588" s="115"/>
      <c r="L588" s="104"/>
    </row>
    <row r="589" spans="1:12" s="111" customFormat="1" ht="19.5" customHeight="1">
      <c r="A589" s="117"/>
      <c r="B589" s="115"/>
      <c r="C589" s="67">
        <v>2023</v>
      </c>
      <c r="D589" s="18">
        <v>0</v>
      </c>
      <c r="E589" s="105">
        <v>0</v>
      </c>
      <c r="F589" s="105"/>
      <c r="G589" s="105"/>
      <c r="H589" s="109">
        <v>0</v>
      </c>
      <c r="I589" s="18">
        <v>0</v>
      </c>
      <c r="J589" s="83"/>
      <c r="K589" s="115"/>
      <c r="L589" s="104"/>
    </row>
    <row r="590" spans="1:12" s="111" customFormat="1" ht="19.5" customHeight="1">
      <c r="A590" s="117" t="s">
        <v>236</v>
      </c>
      <c r="B590" s="115" t="s">
        <v>237</v>
      </c>
      <c r="C590" s="67">
        <v>2017</v>
      </c>
      <c r="D590" s="18">
        <v>0</v>
      </c>
      <c r="E590" s="105">
        <v>0</v>
      </c>
      <c r="F590" s="105"/>
      <c r="G590" s="105"/>
      <c r="H590" s="109">
        <v>0</v>
      </c>
      <c r="I590" s="18">
        <v>0</v>
      </c>
      <c r="J590" s="83"/>
      <c r="K590" s="115"/>
      <c r="L590" s="104"/>
    </row>
    <row r="591" spans="1:12" s="111" customFormat="1" ht="19.5" customHeight="1">
      <c r="A591" s="117"/>
      <c r="B591" s="115"/>
      <c r="C591" s="67">
        <v>2018</v>
      </c>
      <c r="D591" s="18">
        <v>0</v>
      </c>
      <c r="E591" s="105">
        <v>0</v>
      </c>
      <c r="F591" s="105"/>
      <c r="G591" s="105"/>
      <c r="H591" s="109">
        <v>0</v>
      </c>
      <c r="I591" s="18">
        <v>0</v>
      </c>
      <c r="J591" s="83"/>
      <c r="K591" s="115"/>
      <c r="L591" s="104"/>
    </row>
    <row r="592" spans="1:12" s="111" customFormat="1" ht="19.5" customHeight="1">
      <c r="A592" s="117"/>
      <c r="B592" s="115"/>
      <c r="C592" s="67">
        <v>2019</v>
      </c>
      <c r="D592" s="18">
        <v>0</v>
      </c>
      <c r="E592" s="105">
        <v>0</v>
      </c>
      <c r="F592" s="105"/>
      <c r="G592" s="105"/>
      <c r="H592" s="109">
        <v>0</v>
      </c>
      <c r="I592" s="18">
        <v>0</v>
      </c>
      <c r="J592" s="83"/>
      <c r="K592" s="115"/>
      <c r="L592" s="104"/>
    </row>
    <row r="593" spans="1:12" s="111" customFormat="1" ht="19.5" customHeight="1">
      <c r="A593" s="117"/>
      <c r="B593" s="115"/>
      <c r="C593" s="67">
        <v>2020</v>
      </c>
      <c r="D593" s="18">
        <f>I593</f>
        <v>664.25376</v>
      </c>
      <c r="E593" s="105">
        <v>0</v>
      </c>
      <c r="F593" s="105"/>
      <c r="G593" s="105"/>
      <c r="H593" s="109">
        <v>0</v>
      </c>
      <c r="I593" s="18">
        <f>664.25376</f>
        <v>664.25376</v>
      </c>
      <c r="J593" s="83"/>
      <c r="K593" s="115" t="s">
        <v>235</v>
      </c>
      <c r="L593" s="104"/>
    </row>
    <row r="594" spans="1:12" s="111" customFormat="1" ht="19.5" customHeight="1">
      <c r="A594" s="117"/>
      <c r="B594" s="115"/>
      <c r="C594" s="67">
        <v>2021</v>
      </c>
      <c r="D594" s="18">
        <v>0</v>
      </c>
      <c r="E594" s="105">
        <v>0</v>
      </c>
      <c r="F594" s="105"/>
      <c r="G594" s="105"/>
      <c r="H594" s="109">
        <v>0</v>
      </c>
      <c r="I594" s="18">
        <v>0</v>
      </c>
      <c r="J594" s="83"/>
      <c r="K594" s="115"/>
      <c r="L594" s="104"/>
    </row>
    <row r="595" spans="1:12" s="111" customFormat="1" ht="19.5" customHeight="1">
      <c r="A595" s="117"/>
      <c r="B595" s="115"/>
      <c r="C595" s="67">
        <v>2022</v>
      </c>
      <c r="D595" s="18">
        <v>0</v>
      </c>
      <c r="E595" s="105">
        <v>0</v>
      </c>
      <c r="F595" s="105"/>
      <c r="G595" s="105"/>
      <c r="H595" s="109">
        <v>0</v>
      </c>
      <c r="I595" s="18">
        <v>0</v>
      </c>
      <c r="J595" s="83"/>
      <c r="K595" s="115"/>
      <c r="L595" s="104"/>
    </row>
    <row r="596" spans="1:12" s="111" customFormat="1" ht="19.5" customHeight="1">
      <c r="A596" s="117"/>
      <c r="B596" s="115"/>
      <c r="C596" s="67">
        <v>2023</v>
      </c>
      <c r="D596" s="18">
        <v>0</v>
      </c>
      <c r="E596" s="105">
        <v>0</v>
      </c>
      <c r="F596" s="105"/>
      <c r="G596" s="105"/>
      <c r="H596" s="109">
        <v>0</v>
      </c>
      <c r="I596" s="18">
        <v>0</v>
      </c>
      <c r="J596" s="83"/>
      <c r="K596" s="115"/>
      <c r="L596" s="104"/>
    </row>
    <row r="597" spans="1:12" s="111" customFormat="1" ht="19.5" customHeight="1">
      <c r="A597" s="117" t="s">
        <v>238</v>
      </c>
      <c r="B597" s="81" t="s">
        <v>239</v>
      </c>
      <c r="C597" s="67">
        <v>2017</v>
      </c>
      <c r="D597" s="18">
        <v>0</v>
      </c>
      <c r="E597" s="105">
        <v>0</v>
      </c>
      <c r="F597" s="105"/>
      <c r="G597" s="105"/>
      <c r="H597" s="109">
        <v>0</v>
      </c>
      <c r="I597" s="18">
        <v>0</v>
      </c>
      <c r="J597" s="83"/>
      <c r="K597" s="115"/>
      <c r="L597" s="104"/>
    </row>
    <row r="598" spans="1:12" s="111" customFormat="1" ht="19.5" customHeight="1">
      <c r="A598" s="117"/>
      <c r="B598" s="81"/>
      <c r="C598" s="67">
        <v>2018</v>
      </c>
      <c r="D598" s="18">
        <v>0</v>
      </c>
      <c r="E598" s="105">
        <v>0</v>
      </c>
      <c r="F598" s="105"/>
      <c r="G598" s="105"/>
      <c r="H598" s="109">
        <v>0</v>
      </c>
      <c r="I598" s="18">
        <v>0</v>
      </c>
      <c r="J598" s="83"/>
      <c r="K598" s="115"/>
      <c r="L598" s="104"/>
    </row>
    <row r="599" spans="1:12" s="111" customFormat="1" ht="19.5" customHeight="1">
      <c r="A599" s="117"/>
      <c r="B599" s="81"/>
      <c r="C599" s="67">
        <v>2019</v>
      </c>
      <c r="D599" s="18">
        <v>0</v>
      </c>
      <c r="E599" s="105">
        <v>0</v>
      </c>
      <c r="F599" s="105"/>
      <c r="G599" s="105"/>
      <c r="H599" s="109">
        <v>0</v>
      </c>
      <c r="I599" s="18">
        <v>0</v>
      </c>
      <c r="J599" s="83"/>
      <c r="K599" s="115"/>
      <c r="L599" s="104"/>
    </row>
    <row r="600" spans="1:12" s="111" customFormat="1" ht="19.5" customHeight="1">
      <c r="A600" s="117"/>
      <c r="B600" s="81"/>
      <c r="C600" s="67">
        <v>2020</v>
      </c>
      <c r="D600" s="18">
        <f>I600</f>
        <v>0</v>
      </c>
      <c r="E600" s="105">
        <v>0</v>
      </c>
      <c r="F600" s="105"/>
      <c r="G600" s="105"/>
      <c r="H600" s="109">
        <v>0</v>
      </c>
      <c r="I600" s="18">
        <v>0</v>
      </c>
      <c r="J600" s="83"/>
      <c r="K600" s="115" t="s">
        <v>108</v>
      </c>
      <c r="L600" s="104"/>
    </row>
    <row r="601" spans="1:12" s="111" customFormat="1" ht="19.5" customHeight="1">
      <c r="A601" s="117"/>
      <c r="B601" s="81"/>
      <c r="C601" s="67">
        <v>2021</v>
      </c>
      <c r="D601" s="18">
        <v>0</v>
      </c>
      <c r="E601" s="105">
        <v>0</v>
      </c>
      <c r="F601" s="105"/>
      <c r="G601" s="105"/>
      <c r="H601" s="109">
        <v>0</v>
      </c>
      <c r="I601" s="18">
        <v>35.234</v>
      </c>
      <c r="J601" s="83"/>
      <c r="K601" s="115"/>
      <c r="L601" s="104"/>
    </row>
    <row r="602" spans="1:12" s="111" customFormat="1" ht="19.5" customHeight="1">
      <c r="A602" s="117"/>
      <c r="B602" s="81"/>
      <c r="C602" s="67">
        <v>2022</v>
      </c>
      <c r="D602" s="18">
        <v>0</v>
      </c>
      <c r="E602" s="105">
        <v>0</v>
      </c>
      <c r="F602" s="105"/>
      <c r="G602" s="105"/>
      <c r="H602" s="109">
        <v>0</v>
      </c>
      <c r="I602" s="18">
        <v>0</v>
      </c>
      <c r="J602" s="83"/>
      <c r="K602" s="115"/>
      <c r="L602" s="104"/>
    </row>
    <row r="603" spans="1:12" s="111" customFormat="1" ht="19.5" customHeight="1">
      <c r="A603" s="117" t="s">
        <v>240</v>
      </c>
      <c r="B603" s="115" t="s">
        <v>241</v>
      </c>
      <c r="C603" s="67">
        <v>2017</v>
      </c>
      <c r="D603" s="18">
        <v>0</v>
      </c>
      <c r="E603" s="105">
        <v>0</v>
      </c>
      <c r="F603" s="105"/>
      <c r="G603" s="105"/>
      <c r="H603" s="109">
        <v>0</v>
      </c>
      <c r="I603" s="18">
        <v>0</v>
      </c>
      <c r="J603" s="83"/>
      <c r="K603" s="115"/>
      <c r="L603" s="104"/>
    </row>
    <row r="604" spans="1:12" s="111" customFormat="1" ht="19.5" customHeight="1">
      <c r="A604" s="117"/>
      <c r="B604" s="115"/>
      <c r="C604" s="67">
        <v>2018</v>
      </c>
      <c r="D604" s="18">
        <v>0</v>
      </c>
      <c r="E604" s="105">
        <v>0</v>
      </c>
      <c r="F604" s="105"/>
      <c r="G604" s="105"/>
      <c r="H604" s="109">
        <v>0</v>
      </c>
      <c r="I604" s="18">
        <v>0</v>
      </c>
      <c r="J604" s="83"/>
      <c r="K604" s="115"/>
      <c r="L604" s="104"/>
    </row>
    <row r="605" spans="1:12" s="111" customFormat="1" ht="19.5" customHeight="1">
      <c r="A605" s="117"/>
      <c r="B605" s="115"/>
      <c r="C605" s="67">
        <v>2019</v>
      </c>
      <c r="D605" s="18">
        <v>0</v>
      </c>
      <c r="E605" s="105">
        <v>0</v>
      </c>
      <c r="F605" s="105"/>
      <c r="G605" s="105"/>
      <c r="H605" s="109">
        <v>0</v>
      </c>
      <c r="I605" s="18">
        <v>0</v>
      </c>
      <c r="J605" s="83"/>
      <c r="K605" s="115"/>
      <c r="L605" s="104"/>
    </row>
    <row r="606" spans="1:12" s="111" customFormat="1" ht="19.5" customHeight="1">
      <c r="A606" s="117"/>
      <c r="B606" s="115"/>
      <c r="C606" s="67">
        <v>2020</v>
      </c>
      <c r="D606" s="18">
        <f>I606+H606</f>
        <v>105.7</v>
      </c>
      <c r="E606" s="105">
        <v>0</v>
      </c>
      <c r="F606" s="105"/>
      <c r="G606" s="105"/>
      <c r="H606" s="109">
        <v>0</v>
      </c>
      <c r="I606" s="18">
        <f>105.7</f>
        <v>105.7</v>
      </c>
      <c r="J606" s="83"/>
      <c r="K606" s="81" t="s">
        <v>111</v>
      </c>
      <c r="L606" s="104"/>
    </row>
    <row r="607" spans="1:12" s="111" customFormat="1" ht="19.5" customHeight="1">
      <c r="A607" s="117"/>
      <c r="B607" s="115"/>
      <c r="C607" s="67">
        <v>2021</v>
      </c>
      <c r="D607" s="18">
        <f>I607</f>
        <v>348.009</v>
      </c>
      <c r="E607" s="105">
        <v>0</v>
      </c>
      <c r="F607" s="105"/>
      <c r="G607" s="105"/>
      <c r="H607" s="109">
        <v>0</v>
      </c>
      <c r="I607" s="18">
        <v>348.009</v>
      </c>
      <c r="J607" s="83"/>
      <c r="K607" s="81"/>
      <c r="L607" s="104"/>
    </row>
    <row r="608" spans="1:12" s="111" customFormat="1" ht="19.5" customHeight="1">
      <c r="A608" s="117"/>
      <c r="B608" s="115"/>
      <c r="C608" s="67">
        <v>2022</v>
      </c>
      <c r="D608" s="18">
        <v>0</v>
      </c>
      <c r="E608" s="105">
        <v>0</v>
      </c>
      <c r="F608" s="105"/>
      <c r="G608" s="105"/>
      <c r="H608" s="109">
        <v>0</v>
      </c>
      <c r="I608" s="18">
        <v>0</v>
      </c>
      <c r="J608" s="83"/>
      <c r="K608" s="115"/>
      <c r="L608" s="104"/>
    </row>
    <row r="609" spans="1:12" s="111" customFormat="1" ht="19.5" customHeight="1">
      <c r="A609" s="117"/>
      <c r="B609" s="115"/>
      <c r="C609" s="67">
        <v>2023</v>
      </c>
      <c r="D609" s="18">
        <v>0</v>
      </c>
      <c r="E609" s="105">
        <v>0</v>
      </c>
      <c r="F609" s="105"/>
      <c r="G609" s="105"/>
      <c r="H609" s="109">
        <v>0</v>
      </c>
      <c r="I609" s="18">
        <v>0</v>
      </c>
      <c r="J609" s="83"/>
      <c r="K609" s="115"/>
      <c r="L609" s="104"/>
    </row>
    <row r="610" spans="1:12" s="111" customFormat="1" ht="19.5" customHeight="1">
      <c r="A610" s="117" t="s">
        <v>242</v>
      </c>
      <c r="B610" s="115" t="s">
        <v>243</v>
      </c>
      <c r="C610" s="67">
        <v>2017</v>
      </c>
      <c r="D610" s="18">
        <v>0</v>
      </c>
      <c r="E610" s="105">
        <v>0</v>
      </c>
      <c r="F610" s="105"/>
      <c r="G610" s="105"/>
      <c r="H610" s="109">
        <v>0</v>
      </c>
      <c r="I610" s="18">
        <v>0</v>
      </c>
      <c r="J610" s="83"/>
      <c r="K610" s="115"/>
      <c r="L610" s="104"/>
    </row>
    <row r="611" spans="1:12" s="111" customFormat="1" ht="19.5" customHeight="1">
      <c r="A611" s="117"/>
      <c r="B611" s="115"/>
      <c r="C611" s="67">
        <v>2018</v>
      </c>
      <c r="D611" s="18">
        <v>0</v>
      </c>
      <c r="E611" s="105">
        <v>0</v>
      </c>
      <c r="F611" s="105"/>
      <c r="G611" s="105"/>
      <c r="H611" s="109">
        <v>0</v>
      </c>
      <c r="I611" s="18">
        <v>0</v>
      </c>
      <c r="J611" s="83"/>
      <c r="K611" s="115"/>
      <c r="L611" s="104"/>
    </row>
    <row r="612" spans="1:12" s="111" customFormat="1" ht="19.5" customHeight="1">
      <c r="A612" s="117"/>
      <c r="B612" s="115"/>
      <c r="C612" s="67">
        <v>2019</v>
      </c>
      <c r="D612" s="18">
        <v>0</v>
      </c>
      <c r="E612" s="105">
        <v>0</v>
      </c>
      <c r="F612" s="105"/>
      <c r="G612" s="105"/>
      <c r="H612" s="109">
        <v>0</v>
      </c>
      <c r="I612" s="18">
        <v>0</v>
      </c>
      <c r="J612" s="83"/>
      <c r="K612" s="115"/>
      <c r="L612" s="104"/>
    </row>
    <row r="613" spans="1:12" s="111" customFormat="1" ht="19.5" customHeight="1">
      <c r="A613" s="117"/>
      <c r="B613" s="115"/>
      <c r="C613" s="67">
        <v>2020</v>
      </c>
      <c r="D613" s="18">
        <f>I613</f>
        <v>94.589</v>
      </c>
      <c r="E613" s="105">
        <v>0</v>
      </c>
      <c r="F613" s="105"/>
      <c r="G613" s="105"/>
      <c r="H613" s="109">
        <v>0</v>
      </c>
      <c r="I613" s="18">
        <v>94.589</v>
      </c>
      <c r="J613" s="83"/>
      <c r="K613" s="115" t="s">
        <v>108</v>
      </c>
      <c r="L613" s="104"/>
    </row>
    <row r="614" spans="1:12" s="111" customFormat="1" ht="19.5" customHeight="1">
      <c r="A614" s="117"/>
      <c r="B614" s="115"/>
      <c r="C614" s="67">
        <v>2021</v>
      </c>
      <c r="D614" s="18">
        <v>0</v>
      </c>
      <c r="E614" s="105">
        <v>0</v>
      </c>
      <c r="F614" s="105"/>
      <c r="G614" s="105"/>
      <c r="H614" s="109">
        <v>0</v>
      </c>
      <c r="I614" s="18">
        <v>0</v>
      </c>
      <c r="J614" s="83"/>
      <c r="K614" s="115"/>
      <c r="L614" s="104"/>
    </row>
    <row r="615" spans="1:12" s="111" customFormat="1" ht="19.5" customHeight="1">
      <c r="A615" s="117"/>
      <c r="B615" s="115"/>
      <c r="C615" s="67">
        <v>2022</v>
      </c>
      <c r="D615" s="18">
        <v>0</v>
      </c>
      <c r="E615" s="105">
        <v>0</v>
      </c>
      <c r="F615" s="105"/>
      <c r="G615" s="105"/>
      <c r="H615" s="109">
        <v>0</v>
      </c>
      <c r="I615" s="18">
        <v>0</v>
      </c>
      <c r="J615" s="83"/>
      <c r="K615" s="115"/>
      <c r="L615" s="104"/>
    </row>
    <row r="616" spans="1:12" s="111" customFormat="1" ht="19.5" customHeight="1">
      <c r="A616" s="117"/>
      <c r="B616" s="115"/>
      <c r="C616" s="67">
        <v>2023</v>
      </c>
      <c r="D616" s="18">
        <v>0</v>
      </c>
      <c r="E616" s="105">
        <v>0</v>
      </c>
      <c r="F616" s="105"/>
      <c r="G616" s="105"/>
      <c r="H616" s="109">
        <v>0</v>
      </c>
      <c r="I616" s="18">
        <v>0</v>
      </c>
      <c r="J616" s="83"/>
      <c r="K616" s="115"/>
      <c r="L616" s="104"/>
    </row>
    <row r="617" spans="1:12" s="111" customFormat="1" ht="19.5" customHeight="1">
      <c r="A617" s="117" t="s">
        <v>244</v>
      </c>
      <c r="B617" s="81" t="s">
        <v>245</v>
      </c>
      <c r="C617" s="67">
        <v>2017</v>
      </c>
      <c r="D617" s="18">
        <v>0</v>
      </c>
      <c r="E617" s="105">
        <v>0</v>
      </c>
      <c r="F617" s="105"/>
      <c r="G617" s="105"/>
      <c r="H617" s="109">
        <v>0</v>
      </c>
      <c r="I617" s="18">
        <v>0</v>
      </c>
      <c r="J617" s="83"/>
      <c r="K617" s="115"/>
      <c r="L617" s="104"/>
    </row>
    <row r="618" spans="1:12" s="111" customFormat="1" ht="19.5" customHeight="1">
      <c r="A618" s="117"/>
      <c r="B618" s="81"/>
      <c r="C618" s="67">
        <v>2018</v>
      </c>
      <c r="D618" s="18">
        <v>0</v>
      </c>
      <c r="E618" s="105">
        <v>0</v>
      </c>
      <c r="F618" s="105"/>
      <c r="G618" s="105"/>
      <c r="H618" s="109">
        <v>0</v>
      </c>
      <c r="I618" s="18">
        <v>0</v>
      </c>
      <c r="J618" s="83"/>
      <c r="K618" s="115"/>
      <c r="L618" s="104"/>
    </row>
    <row r="619" spans="1:12" s="111" customFormat="1" ht="19.5" customHeight="1">
      <c r="A619" s="117"/>
      <c r="B619" s="81"/>
      <c r="C619" s="67">
        <v>2019</v>
      </c>
      <c r="D619" s="18">
        <v>0</v>
      </c>
      <c r="E619" s="105">
        <v>0</v>
      </c>
      <c r="F619" s="105"/>
      <c r="G619" s="105"/>
      <c r="H619" s="109">
        <v>0</v>
      </c>
      <c r="I619" s="18">
        <v>0</v>
      </c>
      <c r="J619" s="83"/>
      <c r="K619" s="115"/>
      <c r="L619" s="104"/>
    </row>
    <row r="620" spans="1:12" s="111" customFormat="1" ht="19.5" customHeight="1">
      <c r="A620" s="117"/>
      <c r="B620" s="81"/>
      <c r="C620" s="67">
        <v>2020</v>
      </c>
      <c r="D620" s="18">
        <f>I620</f>
        <v>100</v>
      </c>
      <c r="E620" s="105">
        <v>0</v>
      </c>
      <c r="F620" s="105"/>
      <c r="G620" s="105"/>
      <c r="H620" s="109">
        <v>0</v>
      </c>
      <c r="I620" s="18">
        <v>100</v>
      </c>
      <c r="J620" s="83"/>
      <c r="K620" s="115" t="s">
        <v>120</v>
      </c>
      <c r="L620" s="104"/>
    </row>
    <row r="621" spans="1:12" s="111" customFormat="1" ht="19.5" customHeight="1">
      <c r="A621" s="117"/>
      <c r="B621" s="81"/>
      <c r="C621" s="67">
        <v>2021</v>
      </c>
      <c r="D621" s="18">
        <v>0</v>
      </c>
      <c r="E621" s="105">
        <v>0</v>
      </c>
      <c r="F621" s="105"/>
      <c r="G621" s="105"/>
      <c r="H621" s="109">
        <v>0</v>
      </c>
      <c r="I621" s="18">
        <v>0</v>
      </c>
      <c r="J621" s="83"/>
      <c r="K621" s="115"/>
      <c r="L621" s="104"/>
    </row>
    <row r="622" spans="1:12" s="111" customFormat="1" ht="19.5" customHeight="1">
      <c r="A622" s="117"/>
      <c r="B622" s="81"/>
      <c r="C622" s="67">
        <v>2022</v>
      </c>
      <c r="D622" s="18">
        <v>0</v>
      </c>
      <c r="E622" s="105">
        <v>0</v>
      </c>
      <c r="F622" s="105"/>
      <c r="G622" s="105"/>
      <c r="H622" s="109">
        <v>0</v>
      </c>
      <c r="I622" s="18">
        <v>0</v>
      </c>
      <c r="J622" s="83"/>
      <c r="K622" s="115"/>
      <c r="L622" s="104"/>
    </row>
    <row r="623" spans="1:12" s="111" customFormat="1" ht="19.5" customHeight="1">
      <c r="A623" s="117"/>
      <c r="B623" s="81"/>
      <c r="C623" s="67">
        <v>2023</v>
      </c>
      <c r="D623" s="18">
        <v>0</v>
      </c>
      <c r="E623" s="105">
        <v>0</v>
      </c>
      <c r="F623" s="105"/>
      <c r="G623" s="105"/>
      <c r="H623" s="109">
        <v>0</v>
      </c>
      <c r="I623" s="18">
        <v>0</v>
      </c>
      <c r="J623" s="83"/>
      <c r="K623" s="115"/>
      <c r="L623" s="104"/>
    </row>
    <row r="624" spans="1:12" s="111" customFormat="1" ht="19.5" customHeight="1">
      <c r="A624" s="117" t="s">
        <v>246</v>
      </c>
      <c r="B624" s="81" t="s">
        <v>247</v>
      </c>
      <c r="C624" s="67">
        <v>2017</v>
      </c>
      <c r="D624" s="18">
        <v>0</v>
      </c>
      <c r="E624" s="105">
        <v>0</v>
      </c>
      <c r="F624" s="105"/>
      <c r="G624" s="105"/>
      <c r="H624" s="109">
        <v>0</v>
      </c>
      <c r="I624" s="18">
        <v>0</v>
      </c>
      <c r="J624" s="83"/>
      <c r="K624" s="115"/>
      <c r="L624" s="104"/>
    </row>
    <row r="625" spans="1:12" s="111" customFormat="1" ht="19.5" customHeight="1">
      <c r="A625" s="117"/>
      <c r="B625" s="81"/>
      <c r="C625" s="67">
        <v>2018</v>
      </c>
      <c r="D625" s="18">
        <v>0</v>
      </c>
      <c r="E625" s="105">
        <v>0</v>
      </c>
      <c r="F625" s="105"/>
      <c r="G625" s="105"/>
      <c r="H625" s="109">
        <v>0</v>
      </c>
      <c r="I625" s="18">
        <v>0</v>
      </c>
      <c r="J625" s="83"/>
      <c r="K625" s="115"/>
      <c r="L625" s="104"/>
    </row>
    <row r="626" spans="1:12" s="111" customFormat="1" ht="19.5" customHeight="1">
      <c r="A626" s="117"/>
      <c r="B626" s="81"/>
      <c r="C626" s="67">
        <v>2019</v>
      </c>
      <c r="D626" s="18">
        <v>0</v>
      </c>
      <c r="E626" s="105">
        <v>0</v>
      </c>
      <c r="F626" s="105"/>
      <c r="G626" s="105"/>
      <c r="H626" s="109">
        <v>0</v>
      </c>
      <c r="I626" s="18">
        <v>0</v>
      </c>
      <c r="J626" s="83"/>
      <c r="K626" s="115"/>
      <c r="L626" s="104"/>
    </row>
    <row r="627" spans="1:12" s="111" customFormat="1" ht="19.5" customHeight="1">
      <c r="A627" s="117"/>
      <c r="B627" s="81"/>
      <c r="C627" s="67">
        <v>2020</v>
      </c>
      <c r="D627" s="18">
        <f>I627</f>
        <v>14.76</v>
      </c>
      <c r="E627" s="105">
        <v>0</v>
      </c>
      <c r="F627" s="105"/>
      <c r="G627" s="105"/>
      <c r="H627" s="109">
        <v>0</v>
      </c>
      <c r="I627" s="18">
        <v>14.76</v>
      </c>
      <c r="J627" s="83"/>
      <c r="K627" s="115"/>
      <c r="L627" s="104"/>
    </row>
    <row r="628" spans="1:12" s="111" customFormat="1" ht="19.5" customHeight="1">
      <c r="A628" s="117"/>
      <c r="B628" s="81"/>
      <c r="C628" s="67">
        <v>2021</v>
      </c>
      <c r="D628" s="18">
        <v>0</v>
      </c>
      <c r="E628" s="105">
        <v>0</v>
      </c>
      <c r="F628" s="105"/>
      <c r="G628" s="105"/>
      <c r="H628" s="109">
        <v>0</v>
      </c>
      <c r="I628" s="18">
        <v>0</v>
      </c>
      <c r="J628" s="83"/>
      <c r="K628" s="115"/>
      <c r="L628" s="104"/>
    </row>
    <row r="629" spans="1:12" s="111" customFormat="1" ht="19.5" customHeight="1">
      <c r="A629" s="117"/>
      <c r="B629" s="81"/>
      <c r="C629" s="67">
        <v>2022</v>
      </c>
      <c r="D629" s="18">
        <v>0</v>
      </c>
      <c r="E629" s="105">
        <v>0</v>
      </c>
      <c r="F629" s="105"/>
      <c r="G629" s="105"/>
      <c r="H629" s="109">
        <v>0</v>
      </c>
      <c r="I629" s="18">
        <v>0</v>
      </c>
      <c r="J629" s="83"/>
      <c r="K629" s="115"/>
      <c r="L629" s="104"/>
    </row>
    <row r="630" spans="1:12" s="111" customFormat="1" ht="19.5" customHeight="1">
      <c r="A630" s="117"/>
      <c r="B630" s="81"/>
      <c r="C630" s="67">
        <v>2023</v>
      </c>
      <c r="D630" s="18">
        <v>0</v>
      </c>
      <c r="E630" s="105">
        <v>0</v>
      </c>
      <c r="F630" s="105"/>
      <c r="G630" s="105"/>
      <c r="H630" s="109">
        <v>0</v>
      </c>
      <c r="I630" s="18">
        <v>0</v>
      </c>
      <c r="J630" s="83"/>
      <c r="K630" s="115"/>
      <c r="L630" s="104"/>
    </row>
    <row r="631" spans="1:12" s="111" customFormat="1" ht="19.5" customHeight="1">
      <c r="A631" s="117" t="s">
        <v>248</v>
      </c>
      <c r="B631" s="115" t="s">
        <v>249</v>
      </c>
      <c r="C631" s="67">
        <v>2017</v>
      </c>
      <c r="D631" s="18">
        <f aca="true" t="shared" si="49" ref="D631:D636">H631+I631+G631</f>
        <v>0</v>
      </c>
      <c r="E631" s="105">
        <v>0</v>
      </c>
      <c r="F631" s="105"/>
      <c r="G631" s="105"/>
      <c r="H631" s="109">
        <v>0</v>
      </c>
      <c r="I631" s="18">
        <v>0</v>
      </c>
      <c r="J631" s="83"/>
      <c r="K631" s="115"/>
      <c r="L631" s="104"/>
    </row>
    <row r="632" spans="1:12" s="111" customFormat="1" ht="19.5" customHeight="1">
      <c r="A632" s="117"/>
      <c r="B632" s="115"/>
      <c r="C632" s="67">
        <v>2018</v>
      </c>
      <c r="D632" s="18">
        <f t="shared" si="49"/>
        <v>0</v>
      </c>
      <c r="E632" s="105">
        <v>0</v>
      </c>
      <c r="F632" s="105"/>
      <c r="G632" s="105"/>
      <c r="H632" s="109">
        <v>0</v>
      </c>
      <c r="I632" s="18">
        <v>0</v>
      </c>
      <c r="J632" s="83"/>
      <c r="K632" s="115"/>
      <c r="L632" s="104"/>
    </row>
    <row r="633" spans="1:12" s="111" customFormat="1" ht="19.5" customHeight="1">
      <c r="A633" s="117"/>
      <c r="B633" s="115"/>
      <c r="C633" s="67">
        <v>2019</v>
      </c>
      <c r="D633" s="18">
        <f t="shared" si="49"/>
        <v>0</v>
      </c>
      <c r="E633" s="105">
        <v>0</v>
      </c>
      <c r="F633" s="105"/>
      <c r="G633" s="105"/>
      <c r="H633" s="109">
        <v>0</v>
      </c>
      <c r="I633" s="18">
        <v>0</v>
      </c>
      <c r="J633" s="83"/>
      <c r="K633" s="115"/>
      <c r="L633" s="104"/>
    </row>
    <row r="634" spans="1:12" s="111" customFormat="1" ht="19.5" customHeight="1">
      <c r="A634" s="117"/>
      <c r="B634" s="115"/>
      <c r="C634" s="67">
        <v>2020</v>
      </c>
      <c r="D634" s="18">
        <f t="shared" si="49"/>
        <v>0</v>
      </c>
      <c r="E634" s="105">
        <v>0</v>
      </c>
      <c r="F634" s="105"/>
      <c r="G634" s="105"/>
      <c r="H634" s="109">
        <v>0</v>
      </c>
      <c r="I634" s="18">
        <v>0</v>
      </c>
      <c r="J634" s="83"/>
      <c r="K634" s="115"/>
      <c r="L634" s="104"/>
    </row>
    <row r="635" spans="1:12" s="111" customFormat="1" ht="19.5" customHeight="1">
      <c r="A635" s="117"/>
      <c r="B635" s="115"/>
      <c r="C635" s="67">
        <v>2021</v>
      </c>
      <c r="D635" s="18">
        <f t="shared" si="49"/>
        <v>0</v>
      </c>
      <c r="E635" s="105">
        <v>0</v>
      </c>
      <c r="F635" s="105"/>
      <c r="G635" s="105"/>
      <c r="H635" s="109">
        <v>0</v>
      </c>
      <c r="I635" s="18">
        <v>0</v>
      </c>
      <c r="J635" s="83"/>
      <c r="K635" s="115"/>
      <c r="L635" s="104"/>
    </row>
    <row r="636" spans="1:12" s="111" customFormat="1" ht="19.5" customHeight="1">
      <c r="A636" s="117"/>
      <c r="B636" s="115"/>
      <c r="C636" s="67">
        <v>2022</v>
      </c>
      <c r="D636" s="18">
        <f t="shared" si="49"/>
        <v>0</v>
      </c>
      <c r="E636" s="105">
        <v>0</v>
      </c>
      <c r="F636" s="105"/>
      <c r="G636" s="105"/>
      <c r="H636" s="109">
        <v>0</v>
      </c>
      <c r="I636" s="18">
        <v>0</v>
      </c>
      <c r="J636" s="83"/>
      <c r="K636" s="115"/>
      <c r="L636" s="104"/>
    </row>
    <row r="637" spans="1:12" s="111" customFormat="1" ht="19.5" customHeight="1">
      <c r="A637" s="117"/>
      <c r="B637" s="115"/>
      <c r="C637" s="67">
        <v>2023</v>
      </c>
      <c r="D637" s="18">
        <f>F637+I637</f>
        <v>4928.8</v>
      </c>
      <c r="E637" s="105">
        <v>0</v>
      </c>
      <c r="F637" s="105">
        <f>G637+H637</f>
        <v>4682.400000000001</v>
      </c>
      <c r="G637" s="105">
        <v>4307.8</v>
      </c>
      <c r="H637" s="109">
        <v>374.6</v>
      </c>
      <c r="I637" s="18">
        <v>246.4</v>
      </c>
      <c r="J637" s="83"/>
      <c r="K637" s="115" t="s">
        <v>235</v>
      </c>
      <c r="L637" s="104"/>
    </row>
    <row r="638" spans="1:12" s="111" customFormat="1" ht="19.5" customHeight="1">
      <c r="A638" s="119" t="s">
        <v>250</v>
      </c>
      <c r="B638" s="115" t="s">
        <v>251</v>
      </c>
      <c r="C638" s="67">
        <v>2017</v>
      </c>
      <c r="D638" s="18">
        <v>0</v>
      </c>
      <c r="E638" s="105">
        <v>0</v>
      </c>
      <c r="F638" s="105"/>
      <c r="G638" s="105"/>
      <c r="H638" s="109">
        <v>0</v>
      </c>
      <c r="I638" s="18">
        <v>0</v>
      </c>
      <c r="J638" s="83"/>
      <c r="K638" s="115"/>
      <c r="L638" s="104"/>
    </row>
    <row r="639" spans="1:12" s="111" customFormat="1" ht="19.5" customHeight="1">
      <c r="A639" s="119"/>
      <c r="B639" s="115"/>
      <c r="C639" s="67">
        <v>2018</v>
      </c>
      <c r="D639" s="18">
        <v>0</v>
      </c>
      <c r="E639" s="105">
        <v>0</v>
      </c>
      <c r="F639" s="105"/>
      <c r="G639" s="105"/>
      <c r="H639" s="109">
        <v>0</v>
      </c>
      <c r="I639" s="18">
        <v>0</v>
      </c>
      <c r="J639" s="83"/>
      <c r="K639" s="115"/>
      <c r="L639" s="104"/>
    </row>
    <row r="640" spans="1:12" s="111" customFormat="1" ht="19.5" customHeight="1">
      <c r="A640" s="119"/>
      <c r="B640" s="115"/>
      <c r="C640" s="67">
        <v>2019</v>
      </c>
      <c r="D640" s="18">
        <v>0</v>
      </c>
      <c r="E640" s="105">
        <v>0</v>
      </c>
      <c r="F640" s="105"/>
      <c r="G640" s="105"/>
      <c r="H640" s="109">
        <v>0</v>
      </c>
      <c r="I640" s="18">
        <v>0</v>
      </c>
      <c r="J640" s="83"/>
      <c r="K640" s="115"/>
      <c r="L640" s="104"/>
    </row>
    <row r="641" spans="1:12" s="111" customFormat="1" ht="19.5" customHeight="1">
      <c r="A641" s="119"/>
      <c r="B641" s="115"/>
      <c r="C641" s="67">
        <v>2020</v>
      </c>
      <c r="D641" s="18">
        <f aca="true" t="shared" si="50" ref="D641:D642">I641</f>
        <v>43.980000000000004</v>
      </c>
      <c r="E641" s="105">
        <v>0</v>
      </c>
      <c r="F641" s="105"/>
      <c r="G641" s="105"/>
      <c r="H641" s="109">
        <v>0</v>
      </c>
      <c r="I641" s="18">
        <f>48.47214-4.49214</f>
        <v>43.980000000000004</v>
      </c>
      <c r="J641" s="83"/>
      <c r="K641" s="81" t="s">
        <v>120</v>
      </c>
      <c r="L641" s="104"/>
    </row>
    <row r="642" spans="1:12" s="111" customFormat="1" ht="19.5" customHeight="1">
      <c r="A642" s="119"/>
      <c r="B642" s="115"/>
      <c r="C642" s="67">
        <v>2021</v>
      </c>
      <c r="D642" s="18">
        <f t="shared" si="50"/>
        <v>86.405</v>
      </c>
      <c r="E642" s="105">
        <v>0</v>
      </c>
      <c r="F642" s="105"/>
      <c r="G642" s="105"/>
      <c r="H642" s="109">
        <v>0</v>
      </c>
      <c r="I642" s="18">
        <f>86.405</f>
        <v>86.405</v>
      </c>
      <c r="J642" s="83"/>
      <c r="K642" s="81"/>
      <c r="L642" s="104"/>
    </row>
    <row r="643" spans="1:12" s="111" customFormat="1" ht="19.5" customHeight="1">
      <c r="A643" s="119"/>
      <c r="B643" s="115"/>
      <c r="C643" s="67">
        <v>2022</v>
      </c>
      <c r="D643" s="18">
        <v>0</v>
      </c>
      <c r="E643" s="105">
        <v>0</v>
      </c>
      <c r="F643" s="105"/>
      <c r="G643" s="105"/>
      <c r="H643" s="109">
        <v>0</v>
      </c>
      <c r="I643" s="18">
        <v>0</v>
      </c>
      <c r="J643" s="83"/>
      <c r="K643" s="115"/>
      <c r="L643" s="104"/>
    </row>
    <row r="644" spans="1:12" s="111" customFormat="1" ht="19.5" customHeight="1">
      <c r="A644" s="119"/>
      <c r="B644" s="115"/>
      <c r="C644" s="67">
        <v>2023</v>
      </c>
      <c r="D644" s="18">
        <v>0</v>
      </c>
      <c r="E644" s="105">
        <v>0</v>
      </c>
      <c r="F644" s="105"/>
      <c r="G644" s="105"/>
      <c r="H644" s="109">
        <v>0</v>
      </c>
      <c r="I644" s="18">
        <v>0</v>
      </c>
      <c r="J644" s="83"/>
      <c r="K644" s="115"/>
      <c r="L644" s="104"/>
    </row>
    <row r="645" spans="1:12" s="111" customFormat="1" ht="19.5" customHeight="1">
      <c r="A645" s="119" t="s">
        <v>252</v>
      </c>
      <c r="B645" s="81" t="s">
        <v>253</v>
      </c>
      <c r="C645" s="67">
        <v>2017</v>
      </c>
      <c r="D645" s="18">
        <v>0</v>
      </c>
      <c r="E645" s="105">
        <v>0</v>
      </c>
      <c r="F645" s="105"/>
      <c r="G645" s="105"/>
      <c r="H645" s="109">
        <v>0</v>
      </c>
      <c r="I645" s="18">
        <v>0</v>
      </c>
      <c r="J645" s="83"/>
      <c r="K645" s="115"/>
      <c r="L645" s="104"/>
    </row>
    <row r="646" spans="1:12" s="111" customFormat="1" ht="19.5" customHeight="1">
      <c r="A646" s="119"/>
      <c r="B646" s="81"/>
      <c r="C646" s="67">
        <v>2018</v>
      </c>
      <c r="D646" s="18">
        <v>0</v>
      </c>
      <c r="E646" s="105">
        <v>0</v>
      </c>
      <c r="F646" s="105"/>
      <c r="G646" s="105"/>
      <c r="H646" s="109">
        <v>0</v>
      </c>
      <c r="I646" s="18">
        <v>0</v>
      </c>
      <c r="J646" s="83"/>
      <c r="K646" s="115"/>
      <c r="L646" s="104"/>
    </row>
    <row r="647" spans="1:12" s="111" customFormat="1" ht="19.5" customHeight="1">
      <c r="A647" s="119"/>
      <c r="B647" s="81"/>
      <c r="C647" s="67">
        <v>2019</v>
      </c>
      <c r="D647" s="18">
        <v>0</v>
      </c>
      <c r="E647" s="105">
        <v>0</v>
      </c>
      <c r="F647" s="105"/>
      <c r="G647" s="105"/>
      <c r="H647" s="109">
        <v>0</v>
      </c>
      <c r="I647" s="18">
        <v>0</v>
      </c>
      <c r="J647" s="83"/>
      <c r="K647" s="115"/>
      <c r="L647" s="104"/>
    </row>
    <row r="648" spans="1:12" s="111" customFormat="1" ht="19.5" customHeight="1">
      <c r="A648" s="119"/>
      <c r="B648" s="81"/>
      <c r="C648" s="67">
        <v>2020</v>
      </c>
      <c r="D648" s="18">
        <v>0</v>
      </c>
      <c r="E648" s="105">
        <v>0</v>
      </c>
      <c r="F648" s="105"/>
      <c r="G648" s="105"/>
      <c r="H648" s="109">
        <v>0</v>
      </c>
      <c r="I648" s="18">
        <v>0</v>
      </c>
      <c r="J648" s="83"/>
      <c r="K648" s="115"/>
      <c r="L648" s="104"/>
    </row>
    <row r="649" spans="1:12" s="111" customFormat="1" ht="19.5" customHeight="1">
      <c r="A649" s="119"/>
      <c r="B649" s="81"/>
      <c r="C649" s="67">
        <v>2021</v>
      </c>
      <c r="D649" s="18">
        <f>H649+I649</f>
        <v>132.298</v>
      </c>
      <c r="E649" s="105">
        <v>0</v>
      </c>
      <c r="F649" s="105"/>
      <c r="G649" s="105"/>
      <c r="H649" s="109">
        <v>0</v>
      </c>
      <c r="I649" s="18">
        <f>250-117.702</f>
        <v>132.298</v>
      </c>
      <c r="J649" s="83"/>
      <c r="K649" s="115" t="s">
        <v>120</v>
      </c>
      <c r="L649" s="104"/>
    </row>
    <row r="650" spans="1:12" s="111" customFormat="1" ht="19.5" customHeight="1">
      <c r="A650" s="119"/>
      <c r="B650" s="81"/>
      <c r="C650" s="67">
        <v>2022</v>
      </c>
      <c r="D650" s="18">
        <v>0</v>
      </c>
      <c r="E650" s="105">
        <v>0</v>
      </c>
      <c r="F650" s="105"/>
      <c r="G650" s="105"/>
      <c r="H650" s="109">
        <v>0</v>
      </c>
      <c r="I650" s="18">
        <v>0</v>
      </c>
      <c r="J650" s="83"/>
      <c r="K650" s="115"/>
      <c r="L650" s="104"/>
    </row>
    <row r="651" spans="1:12" s="111" customFormat="1" ht="19.5" customHeight="1">
      <c r="A651" s="119"/>
      <c r="B651" s="81"/>
      <c r="C651" s="67">
        <v>2023</v>
      </c>
      <c r="D651" s="18">
        <v>0</v>
      </c>
      <c r="E651" s="105">
        <v>0</v>
      </c>
      <c r="F651" s="105"/>
      <c r="G651" s="105"/>
      <c r="H651" s="109">
        <v>0</v>
      </c>
      <c r="I651" s="18">
        <v>0</v>
      </c>
      <c r="J651" s="83"/>
      <c r="K651" s="115"/>
      <c r="L651" s="104"/>
    </row>
    <row r="652" spans="1:12" s="111" customFormat="1" ht="19.5" customHeight="1">
      <c r="A652" s="119" t="s">
        <v>252</v>
      </c>
      <c r="B652" s="81" t="s">
        <v>254</v>
      </c>
      <c r="C652" s="67">
        <v>2021</v>
      </c>
      <c r="D652" s="18">
        <f aca="true" t="shared" si="51" ref="D652:D653">I652</f>
        <v>1378.2026</v>
      </c>
      <c r="E652" s="105"/>
      <c r="F652" s="105">
        <f>G652+H652</f>
        <v>0</v>
      </c>
      <c r="G652" s="105"/>
      <c r="H652" s="109">
        <v>0</v>
      </c>
      <c r="I652" s="18">
        <v>1378.2026</v>
      </c>
      <c r="J652" s="83"/>
      <c r="K652" s="115" t="s">
        <v>160</v>
      </c>
      <c r="L652" s="104"/>
    </row>
    <row r="653" spans="1:12" s="111" customFormat="1" ht="19.5" customHeight="1">
      <c r="A653" s="119"/>
      <c r="B653" s="81"/>
      <c r="C653" s="67">
        <v>2022</v>
      </c>
      <c r="D653" s="18">
        <f t="shared" si="51"/>
        <v>5888.74</v>
      </c>
      <c r="E653" s="105"/>
      <c r="F653" s="105"/>
      <c r="G653" s="105"/>
      <c r="H653" s="109">
        <v>0</v>
      </c>
      <c r="I653" s="18">
        <v>5888.74</v>
      </c>
      <c r="J653" s="83"/>
      <c r="K653" s="115" t="s">
        <v>160</v>
      </c>
      <c r="L653" s="104"/>
    </row>
    <row r="654" spans="1:12" s="111" customFormat="1" ht="19.5" customHeight="1">
      <c r="A654" s="119"/>
      <c r="B654" s="81"/>
      <c r="C654" s="67">
        <v>2023</v>
      </c>
      <c r="D654" s="18">
        <v>0</v>
      </c>
      <c r="E654" s="105">
        <v>0</v>
      </c>
      <c r="F654" s="105"/>
      <c r="G654" s="105"/>
      <c r="H654" s="109">
        <v>0</v>
      </c>
      <c r="I654" s="18">
        <v>0</v>
      </c>
      <c r="J654" s="83"/>
      <c r="K654" s="115"/>
      <c r="L654" s="104"/>
    </row>
    <row r="655" spans="1:12" s="111" customFormat="1" ht="19.5" customHeight="1">
      <c r="A655" s="119"/>
      <c r="B655" s="81"/>
      <c r="C655" s="67">
        <v>2024</v>
      </c>
      <c r="D655" s="18">
        <v>0</v>
      </c>
      <c r="E655" s="105">
        <v>0</v>
      </c>
      <c r="F655" s="105"/>
      <c r="G655" s="105"/>
      <c r="H655" s="109">
        <v>0</v>
      </c>
      <c r="I655" s="18">
        <v>0</v>
      </c>
      <c r="J655" s="83"/>
      <c r="K655" s="115"/>
      <c r="L655" s="104"/>
    </row>
    <row r="656" spans="1:12" s="111" customFormat="1" ht="19.5" customHeight="1">
      <c r="A656" s="119"/>
      <c r="B656" s="120" t="s">
        <v>99</v>
      </c>
      <c r="C656" s="100">
        <v>2017</v>
      </c>
      <c r="D656" s="97">
        <f>I656+H656+G656+F656+E656</f>
        <v>3287.06155</v>
      </c>
      <c r="E656" s="105">
        <v>0</v>
      </c>
      <c r="F656" s="105"/>
      <c r="G656" s="105"/>
      <c r="H656" s="109">
        <v>0</v>
      </c>
      <c r="I656" s="97">
        <f>I177+I178+I185+I192+I199+I200+I207</f>
        <v>3287.06155</v>
      </c>
      <c r="J656" s="83"/>
      <c r="K656" s="115"/>
      <c r="L656" s="104"/>
    </row>
    <row r="657" spans="1:12" s="111" customFormat="1" ht="19.5" customHeight="1">
      <c r="A657" s="119"/>
      <c r="B657" s="120"/>
      <c r="C657" s="100">
        <v>2018</v>
      </c>
      <c r="D657" s="97">
        <f aca="true" t="shared" si="52" ref="D657:D659">E657+H657+I657</f>
        <v>6571.8936699999995</v>
      </c>
      <c r="E657" s="97">
        <f>E73+E83+E97+E105+E112+E113+E114+E174+E215+E224+E229+E236+E243+E166</f>
        <v>0</v>
      </c>
      <c r="F657" s="97">
        <v>0</v>
      </c>
      <c r="G657" s="97">
        <v>0</v>
      </c>
      <c r="H657" s="97">
        <f>H73+H83+H97+H105+H112+H113+H114+H174+H215+H224+H229+H236+H243+H166</f>
        <v>0</v>
      </c>
      <c r="I657" s="97">
        <f>I215+I222+I229+I236+I243+I216+I250+I251+I253+I254+I252+I261+I269+I276+I283+I290+I297+I304++I311+I268+I318</f>
        <v>6571.8936699999995</v>
      </c>
      <c r="J657" s="83"/>
      <c r="K657" s="85"/>
      <c r="L657" s="104"/>
    </row>
    <row r="658" spans="1:12" s="111" customFormat="1" ht="19.5" customHeight="1">
      <c r="A658" s="119"/>
      <c r="B658" s="120"/>
      <c r="C658" s="100">
        <v>2019</v>
      </c>
      <c r="D658" s="97">
        <f t="shared" si="52"/>
        <v>12119.862239999999</v>
      </c>
      <c r="E658" s="97">
        <f>E81+E89+E98+E106+E115+E167+E175+E217+E222+E230+E237+E244</f>
        <v>0</v>
      </c>
      <c r="F658" s="97">
        <v>0</v>
      </c>
      <c r="G658" s="97">
        <v>0</v>
      </c>
      <c r="H658" s="97">
        <v>0</v>
      </c>
      <c r="I658" s="97">
        <f>I347+I340+I333+I326+I230+I354+I361+I368+I375+I382+I389+I237+I410+I403+I396+I467+I460+I439+I432+I425+I418+I446+I453+I474+I481+I488+I495+I502</f>
        <v>12119.862239999999</v>
      </c>
      <c r="J658" s="83"/>
      <c r="K658" s="85"/>
      <c r="L658" s="104"/>
    </row>
    <row r="659" spans="1:12" s="111" customFormat="1" ht="19.5" customHeight="1">
      <c r="A659" s="119"/>
      <c r="B659" s="120"/>
      <c r="C659" s="100">
        <v>2020</v>
      </c>
      <c r="D659" s="97">
        <f t="shared" si="52"/>
        <v>6624.8859299999995</v>
      </c>
      <c r="E659" s="97">
        <f>E82+E90+E99+E107+E134+E173+E181+E223+E231+E238+E245</f>
        <v>0</v>
      </c>
      <c r="F659" s="97">
        <v>0</v>
      </c>
      <c r="G659" s="97">
        <v>0</v>
      </c>
      <c r="H659" s="97">
        <f>H82+H90+H99+H107+H134+H173+H181+H223+H231+H238+H245</f>
        <v>0</v>
      </c>
      <c r="I659" s="97">
        <f>I593+I586+I579+I572+I565+I558+I551+I544+I537+I530+I523+I516+I411+I238+I600+I606+I613+I620+I627+I641</f>
        <v>6624.8859299999995</v>
      </c>
      <c r="J659" s="83"/>
      <c r="K659" s="85"/>
      <c r="L659" s="104"/>
    </row>
    <row r="660" spans="1:12" s="111" customFormat="1" ht="19.5" customHeight="1">
      <c r="A660" s="119"/>
      <c r="B660" s="120"/>
      <c r="C660" s="100">
        <v>2021</v>
      </c>
      <c r="D660" s="97">
        <f aca="true" t="shared" si="53" ref="D660:D661">I660</f>
        <v>2602.4906</v>
      </c>
      <c r="E660" s="97">
        <v>0</v>
      </c>
      <c r="F660" s="97">
        <v>0</v>
      </c>
      <c r="G660" s="97">
        <v>0</v>
      </c>
      <c r="H660" s="97">
        <v>0</v>
      </c>
      <c r="I660" s="97">
        <f>I412+I573+I642+I649+I607+I601+I552+I652</f>
        <v>2602.4906</v>
      </c>
      <c r="J660" s="83"/>
      <c r="K660" s="85"/>
      <c r="L660" s="104"/>
    </row>
    <row r="661" spans="1:12" s="111" customFormat="1" ht="19.5" customHeight="1">
      <c r="A661" s="119"/>
      <c r="B661" s="120"/>
      <c r="C661" s="100">
        <v>2022</v>
      </c>
      <c r="D661" s="97">
        <f t="shared" si="53"/>
        <v>7535.2789999999995</v>
      </c>
      <c r="E661" s="97">
        <v>0</v>
      </c>
      <c r="F661" s="97">
        <v>0</v>
      </c>
      <c r="G661" s="97">
        <v>0</v>
      </c>
      <c r="H661" s="97">
        <v>0</v>
      </c>
      <c r="I661" s="97">
        <f>I413+I574+I653</f>
        <v>7535.2789999999995</v>
      </c>
      <c r="J661" s="83"/>
      <c r="K661" s="85"/>
      <c r="L661" s="98"/>
    </row>
    <row r="662" spans="1:12" s="111" customFormat="1" ht="19.5" customHeight="1">
      <c r="A662" s="119"/>
      <c r="B662" s="120"/>
      <c r="C662" s="100">
        <v>2023</v>
      </c>
      <c r="D662" s="97">
        <f>F662+I662</f>
        <v>4928.8</v>
      </c>
      <c r="E662" s="97">
        <v>0</v>
      </c>
      <c r="F662" s="97">
        <f>G662+H662</f>
        <v>4682.400000000001</v>
      </c>
      <c r="G662" s="97">
        <f>G637</f>
        <v>4307.8</v>
      </c>
      <c r="H662" s="97">
        <f>H637</f>
        <v>374.6</v>
      </c>
      <c r="I662" s="97">
        <f>I414+I637</f>
        <v>246.4</v>
      </c>
      <c r="J662" s="83"/>
      <c r="K662" s="85"/>
      <c r="L662" s="98"/>
    </row>
    <row r="663" spans="1:12" s="111" customFormat="1" ht="19.5" customHeight="1">
      <c r="A663" s="119"/>
      <c r="B663" s="120"/>
      <c r="C663" s="100">
        <v>2024</v>
      </c>
      <c r="D663" s="97">
        <f>I663</f>
        <v>0</v>
      </c>
      <c r="E663" s="97">
        <v>0</v>
      </c>
      <c r="F663" s="97">
        <v>0</v>
      </c>
      <c r="G663" s="97">
        <v>0</v>
      </c>
      <c r="H663" s="97">
        <v>0</v>
      </c>
      <c r="I663" s="97">
        <f>I415</f>
        <v>0</v>
      </c>
      <c r="J663" s="83"/>
      <c r="K663" s="85"/>
      <c r="L663" s="98"/>
    </row>
    <row r="664" spans="1:12" s="13" customFormat="1" ht="19.5" customHeight="1">
      <c r="A664" s="79"/>
      <c r="B664" s="18" t="s">
        <v>255</v>
      </c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s="13" customFormat="1" ht="19.5" customHeight="1">
      <c r="A665" s="121"/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</row>
    <row r="666" spans="1:13" s="13" customFormat="1" ht="19.5" customHeight="1">
      <c r="A666" s="122" t="s">
        <v>49</v>
      </c>
      <c r="B666" s="105" t="s">
        <v>70</v>
      </c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3" t="s">
        <v>70</v>
      </c>
    </row>
    <row r="667" spans="1:12" s="13" customFormat="1" ht="19.5" customHeight="1">
      <c r="A667" s="18" t="s">
        <v>256</v>
      </c>
      <c r="B667" s="18" t="s">
        <v>257</v>
      </c>
      <c r="C667" s="80">
        <v>2017</v>
      </c>
      <c r="D667" s="18">
        <f aca="true" t="shared" si="54" ref="D667:D668">I667</f>
        <v>6500.04975</v>
      </c>
      <c r="E667" s="18">
        <v>0</v>
      </c>
      <c r="F667" s="18"/>
      <c r="G667" s="18"/>
      <c r="H667" s="18">
        <v>0</v>
      </c>
      <c r="I667" s="18">
        <v>6500.04975</v>
      </c>
      <c r="J667" s="79"/>
      <c r="K667" s="18" t="s">
        <v>258</v>
      </c>
      <c r="L667" s="79"/>
    </row>
    <row r="668" spans="1:12" s="13" customFormat="1" ht="19.5" customHeight="1">
      <c r="A668" s="18"/>
      <c r="B668" s="18"/>
      <c r="C668" s="67">
        <v>2018</v>
      </c>
      <c r="D668" s="18">
        <f t="shared" si="54"/>
        <v>8299.13376</v>
      </c>
      <c r="E668" s="18">
        <v>0</v>
      </c>
      <c r="F668" s="18"/>
      <c r="G668" s="18"/>
      <c r="H668" s="18">
        <v>0</v>
      </c>
      <c r="I668" s="18">
        <f>6137.149+0.73226+1830.1275+327.1+0.025+4</f>
        <v>8299.13376</v>
      </c>
      <c r="J668" s="83"/>
      <c r="K668" s="18"/>
      <c r="L668" s="79"/>
    </row>
    <row r="669" spans="1:12" s="13" customFormat="1" ht="19.5" customHeight="1">
      <c r="A669" s="18"/>
      <c r="B669" s="18"/>
      <c r="C669" s="67">
        <v>2019</v>
      </c>
      <c r="D669" s="18">
        <f aca="true" t="shared" si="55" ref="D669:D670">E669+H669+I669</f>
        <v>11105.41822</v>
      </c>
      <c r="E669" s="18">
        <v>0</v>
      </c>
      <c r="F669" s="18"/>
      <c r="G669" s="18"/>
      <c r="H669" s="18">
        <v>0</v>
      </c>
      <c r="I669" s="18">
        <f>341.2+2464.84669+0.93166+8298.446-0.00613</f>
        <v>11105.41822</v>
      </c>
      <c r="J669" s="83"/>
      <c r="K669" s="18"/>
      <c r="L669" s="79"/>
    </row>
    <row r="670" spans="1:12" s="13" customFormat="1" ht="19.5" customHeight="1">
      <c r="A670" s="18"/>
      <c r="B670" s="18"/>
      <c r="C670" s="67">
        <v>2020</v>
      </c>
      <c r="D670" s="18">
        <f t="shared" si="55"/>
        <v>11736.468110000002</v>
      </c>
      <c r="E670" s="18">
        <v>0</v>
      </c>
      <c r="F670" s="18"/>
      <c r="G670" s="18"/>
      <c r="H670" s="18">
        <v>0</v>
      </c>
      <c r="I670" s="18">
        <f>8727.278+2635.639+419.34-45.78889</f>
        <v>11736.468110000002</v>
      </c>
      <c r="J670" s="83"/>
      <c r="K670" s="18"/>
      <c r="L670" s="79"/>
    </row>
    <row r="671" spans="1:12" s="13" customFormat="1" ht="19.5" customHeight="1">
      <c r="A671" s="18"/>
      <c r="B671" s="18"/>
      <c r="C671" s="67">
        <v>2021</v>
      </c>
      <c r="D671" s="18">
        <f aca="true" t="shared" si="56" ref="D671:D674">I671</f>
        <v>12815.795</v>
      </c>
      <c r="E671" s="18">
        <v>0</v>
      </c>
      <c r="F671" s="18"/>
      <c r="G671" s="18"/>
      <c r="H671" s="18">
        <v>0</v>
      </c>
      <c r="I671" s="18">
        <f>12815.795</f>
        <v>12815.795</v>
      </c>
      <c r="J671" s="83"/>
      <c r="K671" s="18"/>
      <c r="L671" s="79"/>
    </row>
    <row r="672" spans="1:12" s="13" customFormat="1" ht="19.5" customHeight="1">
      <c r="A672" s="18"/>
      <c r="B672" s="18"/>
      <c r="C672" s="67">
        <v>2022</v>
      </c>
      <c r="D672" s="18">
        <f t="shared" si="56"/>
        <v>13483.867</v>
      </c>
      <c r="E672" s="18">
        <v>0</v>
      </c>
      <c r="F672" s="18"/>
      <c r="G672" s="18"/>
      <c r="H672" s="18">
        <v>0</v>
      </c>
      <c r="I672" s="18">
        <f>10114.644+3054.623+314.6</f>
        <v>13483.867</v>
      </c>
      <c r="J672" s="83"/>
      <c r="K672" s="18"/>
      <c r="L672" s="79"/>
    </row>
    <row r="673" spans="1:12" s="13" customFormat="1" ht="19.5" customHeight="1">
      <c r="A673" s="18"/>
      <c r="B673" s="18"/>
      <c r="C673" s="67">
        <v>2023</v>
      </c>
      <c r="D673" s="18">
        <f t="shared" si="56"/>
        <v>12789.759</v>
      </c>
      <c r="E673" s="18">
        <v>0</v>
      </c>
      <c r="F673" s="18"/>
      <c r="G673" s="18"/>
      <c r="H673" s="18">
        <v>0</v>
      </c>
      <c r="I673" s="18">
        <f aca="true" t="shared" si="57" ref="I673:I674">9581.535+2893.624+314.6</f>
        <v>12789.759</v>
      </c>
      <c r="J673" s="83"/>
      <c r="K673" s="18"/>
      <c r="L673" s="79"/>
    </row>
    <row r="674" spans="1:12" s="13" customFormat="1" ht="19.5" customHeight="1">
      <c r="A674" s="18"/>
      <c r="B674" s="18"/>
      <c r="C674" s="67">
        <v>2024</v>
      </c>
      <c r="D674" s="18">
        <f t="shared" si="56"/>
        <v>12789.759</v>
      </c>
      <c r="E674" s="18">
        <v>0</v>
      </c>
      <c r="F674" s="18"/>
      <c r="G674" s="18"/>
      <c r="H674" s="18">
        <v>0</v>
      </c>
      <c r="I674" s="18">
        <f t="shared" si="57"/>
        <v>12789.759</v>
      </c>
      <c r="J674" s="83"/>
      <c r="K674" s="18"/>
      <c r="L674" s="79"/>
    </row>
    <row r="675" spans="1:12" s="13" customFormat="1" ht="19.5" customHeight="1" hidden="1">
      <c r="A675" s="18" t="s">
        <v>259</v>
      </c>
      <c r="B675" s="18" t="s">
        <v>260</v>
      </c>
      <c r="C675" s="67">
        <v>2017</v>
      </c>
      <c r="D675" s="18">
        <v>0</v>
      </c>
      <c r="E675" s="18">
        <v>0</v>
      </c>
      <c r="F675" s="18"/>
      <c r="G675" s="18"/>
      <c r="H675" s="18">
        <v>0</v>
      </c>
      <c r="I675" s="18">
        <v>0</v>
      </c>
      <c r="J675" s="83"/>
      <c r="K675" s="18"/>
      <c r="L675" s="79"/>
    </row>
    <row r="676" spans="1:12" s="13" customFormat="1" ht="19.5" customHeight="1" hidden="1">
      <c r="A676" s="18"/>
      <c r="B676" s="18"/>
      <c r="C676" s="67">
        <v>2018</v>
      </c>
      <c r="D676" s="18">
        <v>0</v>
      </c>
      <c r="E676" s="18">
        <v>0</v>
      </c>
      <c r="F676" s="18"/>
      <c r="G676" s="18"/>
      <c r="H676" s="18">
        <v>0</v>
      </c>
      <c r="I676" s="18">
        <v>0</v>
      </c>
      <c r="J676" s="83"/>
      <c r="K676" s="18"/>
      <c r="L676" s="79"/>
    </row>
    <row r="677" spans="1:12" s="13" customFormat="1" ht="19.5" customHeight="1" hidden="1">
      <c r="A677" s="18"/>
      <c r="B677" s="18"/>
      <c r="C677" s="67">
        <v>2019</v>
      </c>
      <c r="D677" s="18">
        <v>0</v>
      </c>
      <c r="E677" s="18">
        <v>0</v>
      </c>
      <c r="F677" s="18"/>
      <c r="G677" s="18"/>
      <c r="H677" s="18">
        <v>0</v>
      </c>
      <c r="I677" s="18">
        <v>0</v>
      </c>
      <c r="J677" s="83"/>
      <c r="K677" s="18"/>
      <c r="L677" s="79"/>
    </row>
    <row r="678" spans="1:12" s="13" customFormat="1" ht="19.5" customHeight="1" hidden="1">
      <c r="A678" s="18"/>
      <c r="B678" s="18"/>
      <c r="C678" s="67">
        <v>2020</v>
      </c>
      <c r="D678" s="18">
        <v>0</v>
      </c>
      <c r="E678" s="18">
        <v>0</v>
      </c>
      <c r="F678" s="18"/>
      <c r="G678" s="18"/>
      <c r="H678" s="18">
        <v>0</v>
      </c>
      <c r="I678" s="18">
        <v>0</v>
      </c>
      <c r="J678" s="83"/>
      <c r="K678" s="18"/>
      <c r="L678" s="79"/>
    </row>
    <row r="679" spans="1:12" s="13" customFormat="1" ht="19.5" customHeight="1" hidden="1">
      <c r="A679" s="18"/>
      <c r="B679" s="18"/>
      <c r="C679" s="67">
        <v>2021</v>
      </c>
      <c r="D679" s="18">
        <v>0</v>
      </c>
      <c r="E679" s="18">
        <v>0</v>
      </c>
      <c r="F679" s="18"/>
      <c r="G679" s="18"/>
      <c r="H679" s="18">
        <v>0</v>
      </c>
      <c r="I679" s="18">
        <v>0</v>
      </c>
      <c r="J679" s="83"/>
      <c r="K679" s="18"/>
      <c r="L679" s="79"/>
    </row>
    <row r="680" spans="1:12" s="13" customFormat="1" ht="19.5" customHeight="1" hidden="1">
      <c r="A680" s="18"/>
      <c r="B680" s="18"/>
      <c r="C680" s="67">
        <v>2022</v>
      </c>
      <c r="D680" s="18">
        <f>H680+G680</f>
        <v>0</v>
      </c>
      <c r="E680" s="18">
        <v>0</v>
      </c>
      <c r="F680" s="18"/>
      <c r="G680" s="18"/>
      <c r="H680" s="18">
        <v>0</v>
      </c>
      <c r="I680" s="18">
        <v>0</v>
      </c>
      <c r="J680" s="83"/>
      <c r="K680" s="18"/>
      <c r="L680" s="79"/>
    </row>
    <row r="681" spans="1:12" s="13" customFormat="1" ht="19.5" customHeight="1" hidden="1">
      <c r="A681" s="18"/>
      <c r="B681" s="18"/>
      <c r="C681" s="67">
        <v>2023</v>
      </c>
      <c r="D681" s="18">
        <v>0</v>
      </c>
      <c r="E681" s="18">
        <v>0</v>
      </c>
      <c r="F681" s="18"/>
      <c r="G681" s="18"/>
      <c r="H681" s="18">
        <v>0</v>
      </c>
      <c r="I681" s="18">
        <v>0</v>
      </c>
      <c r="J681" s="83"/>
      <c r="K681" s="18"/>
      <c r="L681" s="79"/>
    </row>
    <row r="682" spans="1:12" s="13" customFormat="1" ht="19.5" customHeight="1">
      <c r="A682" s="123" t="s">
        <v>99</v>
      </c>
      <c r="B682" s="123"/>
      <c r="C682" s="100">
        <v>2017</v>
      </c>
      <c r="D682" s="97">
        <f>I682</f>
        <v>6500.04975</v>
      </c>
      <c r="E682" s="97">
        <v>0</v>
      </c>
      <c r="F682" s="97"/>
      <c r="G682" s="97"/>
      <c r="H682" s="97">
        <v>0</v>
      </c>
      <c r="I682" s="97">
        <f aca="true" t="shared" si="58" ref="I682:I689">I667</f>
        <v>6500.04975</v>
      </c>
      <c r="J682" s="83"/>
      <c r="K682" s="18"/>
      <c r="L682" s="79"/>
    </row>
    <row r="683" spans="1:12" s="13" customFormat="1" ht="19.5" customHeight="1">
      <c r="A683" s="123"/>
      <c r="B683" s="123"/>
      <c r="C683" s="100">
        <v>2018</v>
      </c>
      <c r="D683" s="97">
        <f aca="true" t="shared" si="59" ref="D683:D685">E683+H683+I683</f>
        <v>8299.13376</v>
      </c>
      <c r="E683" s="97">
        <f>E105+E112+E117+E134+E166+E167+E215+E217+E222+E229+E231+E238+E245+E657+E658+E664+E668</f>
        <v>0</v>
      </c>
      <c r="F683" s="97"/>
      <c r="G683" s="97"/>
      <c r="H683" s="97">
        <f>H105+H112+H117+H134+H166+H167+H215+H217+H222+H229+H231+H238+H245+H657+H658+H664+H668</f>
        <v>0</v>
      </c>
      <c r="I683" s="97">
        <f t="shared" si="58"/>
        <v>8299.13376</v>
      </c>
      <c r="J683" s="83"/>
      <c r="K683" s="85"/>
      <c r="L683" s="79"/>
    </row>
    <row r="684" spans="1:12" s="13" customFormat="1" ht="19.5" customHeight="1">
      <c r="A684" s="123"/>
      <c r="B684" s="123"/>
      <c r="C684" s="100">
        <v>2019</v>
      </c>
      <c r="D684" s="97">
        <f t="shared" si="59"/>
        <v>11105.41822</v>
      </c>
      <c r="E684" s="97">
        <f>E106+E113+E123+E168+E223+E236+E243+E659+E665+E669</f>
        <v>0</v>
      </c>
      <c r="F684" s="97"/>
      <c r="G684" s="97"/>
      <c r="H684" s="97">
        <f>H106+H113+H123+H168+H223+H236+H243+H659+H665+H669</f>
        <v>0</v>
      </c>
      <c r="I684" s="97">
        <f t="shared" si="58"/>
        <v>11105.41822</v>
      </c>
      <c r="J684" s="83"/>
      <c r="K684" s="85"/>
      <c r="L684" s="98"/>
    </row>
    <row r="685" spans="1:12" s="13" customFormat="1" ht="19.5" customHeight="1">
      <c r="A685" s="123"/>
      <c r="B685" s="123"/>
      <c r="C685" s="100">
        <v>2020</v>
      </c>
      <c r="D685" s="97">
        <f t="shared" si="59"/>
        <v>11736.468110000002</v>
      </c>
      <c r="E685" s="97">
        <f>E107+E114+E124+E181+E224+E230+E237+E244+E660+E666+E670</f>
        <v>0</v>
      </c>
      <c r="F685" s="97"/>
      <c r="G685" s="97"/>
      <c r="H685" s="97">
        <f>H107+H114+H124+H181+H224+H230+H237+H244+H660+H666+H670</f>
        <v>0</v>
      </c>
      <c r="I685" s="97">
        <f t="shared" si="58"/>
        <v>11736.468110000002</v>
      </c>
      <c r="J685" s="83"/>
      <c r="K685" s="85"/>
      <c r="L685" s="98"/>
    </row>
    <row r="686" spans="1:12" s="13" customFormat="1" ht="19.5" customHeight="1">
      <c r="A686" s="123"/>
      <c r="B686" s="123"/>
      <c r="C686" s="124">
        <v>2021</v>
      </c>
      <c r="D686" s="121">
        <f aca="true" t="shared" si="60" ref="D686:D687">I686</f>
        <v>12815.795</v>
      </c>
      <c r="E686" s="121">
        <v>0</v>
      </c>
      <c r="F686" s="121"/>
      <c r="G686" s="121"/>
      <c r="H686" s="121">
        <v>0</v>
      </c>
      <c r="I686" s="121">
        <f t="shared" si="58"/>
        <v>12815.795</v>
      </c>
      <c r="J686" s="121"/>
      <c r="K686" s="121"/>
      <c r="L686" s="98"/>
    </row>
    <row r="687" spans="1:12" s="13" customFormat="1" ht="19.5" customHeight="1">
      <c r="A687" s="123"/>
      <c r="B687" s="123"/>
      <c r="C687" s="124">
        <v>2022</v>
      </c>
      <c r="D687" s="121">
        <f t="shared" si="60"/>
        <v>13483.867</v>
      </c>
      <c r="E687" s="121">
        <v>0</v>
      </c>
      <c r="F687" s="121"/>
      <c r="G687" s="121" t="s">
        <v>70</v>
      </c>
      <c r="H687" s="121">
        <f>H680</f>
        <v>0</v>
      </c>
      <c r="I687" s="121">
        <f t="shared" si="58"/>
        <v>13483.867</v>
      </c>
      <c r="J687" s="121"/>
      <c r="K687" s="121"/>
      <c r="L687" s="98"/>
    </row>
    <row r="688" spans="1:12" s="13" customFormat="1" ht="19.5" customHeight="1">
      <c r="A688" s="123"/>
      <c r="B688" s="123"/>
      <c r="C688" s="124">
        <v>2023</v>
      </c>
      <c r="D688" s="121">
        <f>G688+H688+I688</f>
        <v>12789.759</v>
      </c>
      <c r="E688" s="121">
        <v>0</v>
      </c>
      <c r="F688" s="121">
        <f>G688+H688</f>
        <v>0</v>
      </c>
      <c r="G688" s="121"/>
      <c r="H688" s="121">
        <v>0</v>
      </c>
      <c r="I688" s="121">
        <f t="shared" si="58"/>
        <v>12789.759</v>
      </c>
      <c r="J688" s="121"/>
      <c r="K688" s="125"/>
      <c r="L688" s="98"/>
    </row>
    <row r="689" spans="1:12" s="13" customFormat="1" ht="19.5" customHeight="1">
      <c r="A689" s="123"/>
      <c r="B689" s="123"/>
      <c r="C689" s="124">
        <v>2024</v>
      </c>
      <c r="D689" s="121">
        <f>I689</f>
        <v>12789.759</v>
      </c>
      <c r="E689" s="121">
        <v>0</v>
      </c>
      <c r="F689" s="121"/>
      <c r="G689" s="121"/>
      <c r="H689" s="121">
        <v>0</v>
      </c>
      <c r="I689" s="121">
        <f t="shared" si="58"/>
        <v>12789.759</v>
      </c>
      <c r="J689" s="121"/>
      <c r="K689" s="125"/>
      <c r="L689" s="98"/>
    </row>
    <row r="690" spans="1:12" s="13" customFormat="1" ht="19.5" customHeight="1">
      <c r="A690" s="121" t="s">
        <v>261</v>
      </c>
      <c r="B690" s="121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</row>
    <row r="691" spans="1:12" s="13" customFormat="1" ht="19.5" customHeight="1">
      <c r="A691" s="79" t="s">
        <v>262</v>
      </c>
      <c r="B691" s="18" t="s">
        <v>263</v>
      </c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s="13" customFormat="1" ht="19.5" customHeight="1">
      <c r="A692" s="18" t="s">
        <v>264</v>
      </c>
      <c r="B692" s="18" t="s">
        <v>265</v>
      </c>
      <c r="C692" s="67">
        <v>2017</v>
      </c>
      <c r="D692" s="18">
        <f>H692+I692</f>
        <v>11181.419240000001</v>
      </c>
      <c r="E692" s="18">
        <v>0</v>
      </c>
      <c r="F692" s="18">
        <f aca="true" t="shared" si="61" ref="F692:F695">G692+H692</f>
        <v>2270.1</v>
      </c>
      <c r="G692" s="18"/>
      <c r="H692" s="18">
        <v>2270.1</v>
      </c>
      <c r="I692" s="18">
        <v>8911.31924</v>
      </c>
      <c r="J692" s="79">
        <v>0</v>
      </c>
      <c r="K692" s="126" t="s">
        <v>134</v>
      </c>
      <c r="L692" s="18" t="s">
        <v>266</v>
      </c>
    </row>
    <row r="693" spans="1:12" s="13" customFormat="1" ht="19.5" customHeight="1">
      <c r="A693" s="18"/>
      <c r="B693" s="18"/>
      <c r="C693" s="67">
        <v>2018</v>
      </c>
      <c r="D693" s="18">
        <f>E693+H693+I693+J693</f>
        <v>12687.26973</v>
      </c>
      <c r="E693" s="18">
        <v>0</v>
      </c>
      <c r="F693" s="18">
        <f t="shared" si="61"/>
        <v>2741.4</v>
      </c>
      <c r="G693" s="18"/>
      <c r="H693" s="18">
        <f>2741.4</f>
        <v>2741.4</v>
      </c>
      <c r="I693" s="18">
        <f>6281.07244+2581.18215</f>
        <v>8862.25459</v>
      </c>
      <c r="J693" s="127">
        <v>1083.61514</v>
      </c>
      <c r="K693" s="126"/>
      <c r="L693" s="18"/>
    </row>
    <row r="694" spans="1:12" s="13" customFormat="1" ht="19.5" customHeight="1">
      <c r="A694" s="18"/>
      <c r="B694" s="18"/>
      <c r="C694" s="80">
        <v>2019</v>
      </c>
      <c r="D694" s="81">
        <f>F694+I694+J694</f>
        <v>12327.13844</v>
      </c>
      <c r="E694" s="81">
        <v>0</v>
      </c>
      <c r="F694" s="81">
        <f t="shared" si="61"/>
        <v>3472.5</v>
      </c>
      <c r="G694" s="81"/>
      <c r="H694" s="81">
        <v>3472.5</v>
      </c>
      <c r="I694" s="81">
        <f>4657.67224+3147.28476</f>
        <v>7804.957</v>
      </c>
      <c r="J694" s="110">
        <v>1049.68144</v>
      </c>
      <c r="K694" s="126"/>
      <c r="L694" s="18"/>
    </row>
    <row r="695" spans="1:13" s="13" customFormat="1" ht="19.5" customHeight="1">
      <c r="A695" s="18"/>
      <c r="B695" s="18"/>
      <c r="C695" s="67">
        <v>2020</v>
      </c>
      <c r="D695" s="18">
        <f>H695+I695+J695</f>
        <v>13866.77325</v>
      </c>
      <c r="E695" s="18">
        <v>0</v>
      </c>
      <c r="F695" s="18">
        <f t="shared" si="61"/>
        <v>3616.709</v>
      </c>
      <c r="G695" s="18"/>
      <c r="H695" s="18">
        <v>3616.709</v>
      </c>
      <c r="I695" s="18">
        <f>6578.836+3098.76</f>
        <v>9677.596000000001</v>
      </c>
      <c r="J695" s="127">
        <f>472.46825+100</f>
        <v>572.46825</v>
      </c>
      <c r="K695" s="126"/>
      <c r="L695" s="18"/>
      <c r="M695" s="13" t="s">
        <v>70</v>
      </c>
    </row>
    <row r="696" spans="1:12" s="13" customFormat="1" ht="19.5" customHeight="1">
      <c r="A696" s="18"/>
      <c r="B696" s="18"/>
      <c r="C696" s="67">
        <v>2021</v>
      </c>
      <c r="D696" s="18">
        <f>I696+H696+J696</f>
        <v>12965.68998</v>
      </c>
      <c r="E696" s="18">
        <v>0</v>
      </c>
      <c r="F696" s="18">
        <f aca="true" t="shared" si="62" ref="F696:F699">H696</f>
        <v>4020.329</v>
      </c>
      <c r="G696" s="18"/>
      <c r="H696" s="18">
        <v>4020.329</v>
      </c>
      <c r="I696" s="18">
        <f>8196.99034-1.62936</f>
        <v>8195.36098</v>
      </c>
      <c r="J696" s="127">
        <v>750</v>
      </c>
      <c r="K696" s="126"/>
      <c r="L696" s="18"/>
    </row>
    <row r="697" spans="1:12" s="13" customFormat="1" ht="19.5" customHeight="1">
      <c r="A697" s="18"/>
      <c r="B697" s="18"/>
      <c r="C697" s="67">
        <v>2022</v>
      </c>
      <c r="D697" s="18">
        <f>F697+I697+J697</f>
        <v>13882.971000000001</v>
      </c>
      <c r="E697" s="18">
        <v>0</v>
      </c>
      <c r="F697" s="18">
        <f t="shared" si="62"/>
        <v>3904.8</v>
      </c>
      <c r="G697" s="18"/>
      <c r="H697" s="18">
        <v>3904.8</v>
      </c>
      <c r="I697" s="18">
        <v>9228.171</v>
      </c>
      <c r="J697" s="127">
        <v>750</v>
      </c>
      <c r="K697" s="126"/>
      <c r="L697" s="18"/>
    </row>
    <row r="698" spans="1:12" s="13" customFormat="1" ht="19.5" customHeight="1">
      <c r="A698" s="18"/>
      <c r="B698" s="18"/>
      <c r="C698" s="67">
        <v>2023</v>
      </c>
      <c r="D698" s="18">
        <f>I698+H698+J698</f>
        <v>12977.728</v>
      </c>
      <c r="E698" s="18">
        <v>0</v>
      </c>
      <c r="F698" s="18">
        <f t="shared" si="62"/>
        <v>3904.8</v>
      </c>
      <c r="G698" s="18"/>
      <c r="H698" s="18">
        <v>3904.8</v>
      </c>
      <c r="I698" s="18">
        <v>8322.928</v>
      </c>
      <c r="J698" s="127">
        <v>750</v>
      </c>
      <c r="K698" s="126"/>
      <c r="L698" s="18"/>
    </row>
    <row r="699" spans="1:12" s="13" customFormat="1" ht="19.5" customHeight="1">
      <c r="A699" s="18"/>
      <c r="B699" s="18"/>
      <c r="C699" s="67">
        <v>2024</v>
      </c>
      <c r="D699" s="18">
        <f>F699+I699+J699</f>
        <v>13311.398000000001</v>
      </c>
      <c r="E699" s="18">
        <v>0</v>
      </c>
      <c r="F699" s="18">
        <f t="shared" si="62"/>
        <v>3904.8</v>
      </c>
      <c r="G699" s="18"/>
      <c r="H699" s="18">
        <v>3904.8</v>
      </c>
      <c r="I699" s="18">
        <v>8656.598</v>
      </c>
      <c r="J699" s="127">
        <v>750</v>
      </c>
      <c r="K699" s="128"/>
      <c r="L699" s="18"/>
    </row>
    <row r="700" spans="1:12" s="13" customFormat="1" ht="19.5" customHeight="1">
      <c r="A700" s="129" t="s">
        <v>267</v>
      </c>
      <c r="B700" s="129" t="s">
        <v>268</v>
      </c>
      <c r="C700" s="67">
        <v>2017</v>
      </c>
      <c r="D700" s="18">
        <f aca="true" t="shared" si="63" ref="D700:D703">H700+I700+J700</f>
        <v>19392.76832</v>
      </c>
      <c r="E700" s="18">
        <v>0</v>
      </c>
      <c r="F700" s="18">
        <f aca="true" t="shared" si="64" ref="F700:F703">G700+H700</f>
        <v>176</v>
      </c>
      <c r="G700" s="18"/>
      <c r="H700" s="18">
        <v>176</v>
      </c>
      <c r="I700" s="18">
        <v>19216.76832</v>
      </c>
      <c r="J700" s="127">
        <v>0</v>
      </c>
      <c r="K700" s="126" t="s">
        <v>135</v>
      </c>
      <c r="L700" s="18"/>
    </row>
    <row r="701" spans="1:12" s="13" customFormat="1" ht="19.5" customHeight="1">
      <c r="A701" s="129"/>
      <c r="B701" s="129"/>
      <c r="C701" s="67">
        <v>2018</v>
      </c>
      <c r="D701" s="18">
        <f t="shared" si="63"/>
        <v>19564.29559</v>
      </c>
      <c r="E701" s="18">
        <v>0</v>
      </c>
      <c r="F701" s="18">
        <f t="shared" si="64"/>
        <v>377.618</v>
      </c>
      <c r="G701" s="18"/>
      <c r="H701" s="18">
        <f>377.618</f>
        <v>377.618</v>
      </c>
      <c r="I701" s="18">
        <f>15699.79296+1754.72854</f>
        <v>17454.521500000003</v>
      </c>
      <c r="J701" s="83">
        <v>1732.15609</v>
      </c>
      <c r="K701" s="126"/>
      <c r="L701" s="18"/>
    </row>
    <row r="702" spans="1:12" s="13" customFormat="1" ht="19.5" customHeight="1">
      <c r="A702" s="129"/>
      <c r="B702" s="129"/>
      <c r="C702" s="67">
        <v>2019</v>
      </c>
      <c r="D702" s="18">
        <f t="shared" si="63"/>
        <v>18612.268150000004</v>
      </c>
      <c r="E702" s="18">
        <v>0</v>
      </c>
      <c r="F702" s="18">
        <f t="shared" si="64"/>
        <v>427.364</v>
      </c>
      <c r="G702" s="18"/>
      <c r="H702" s="18">
        <v>427.364</v>
      </c>
      <c r="I702" s="18">
        <f>11854.18705+2523.8044+22.5+1607.853</f>
        <v>16008.34445</v>
      </c>
      <c r="J702" s="83">
        <f>1926.5597+250</f>
        <v>2176.5597</v>
      </c>
      <c r="K702" s="126"/>
      <c r="L702" s="18"/>
    </row>
    <row r="703" spans="1:12" s="13" customFormat="1" ht="19.5" customHeight="1">
      <c r="A703" s="129"/>
      <c r="B703" s="129"/>
      <c r="C703" s="67">
        <v>2020</v>
      </c>
      <c r="D703" s="18">
        <f t="shared" si="63"/>
        <v>19516.943529999997</v>
      </c>
      <c r="E703" s="18">
        <v>0</v>
      </c>
      <c r="F703" s="18">
        <f t="shared" si="64"/>
        <v>476</v>
      </c>
      <c r="G703" s="18"/>
      <c r="H703" s="18">
        <f>476</f>
        <v>476</v>
      </c>
      <c r="I703" s="18">
        <f>12985.506+2311.533+71.127+1707.574</f>
        <v>17075.739999999998</v>
      </c>
      <c r="J703" s="83">
        <f>1745.20353+220</f>
        <v>1965.20353</v>
      </c>
      <c r="K703" s="126"/>
      <c r="L703" s="18"/>
    </row>
    <row r="704" spans="1:12" s="13" customFormat="1" ht="19.5" customHeight="1">
      <c r="A704" s="129"/>
      <c r="B704" s="129"/>
      <c r="C704" s="67">
        <v>2021</v>
      </c>
      <c r="D704" s="18">
        <f>F704+I704+J704</f>
        <v>0</v>
      </c>
      <c r="E704" s="18">
        <v>0</v>
      </c>
      <c r="F704" s="18">
        <f aca="true" t="shared" si="65" ref="F704:F706">H704</f>
        <v>0</v>
      </c>
      <c r="G704" s="18"/>
      <c r="H704" s="18">
        <v>0</v>
      </c>
      <c r="I704" s="18">
        <v>0</v>
      </c>
      <c r="J704" s="130">
        <v>0</v>
      </c>
      <c r="K704" s="126"/>
      <c r="L704" s="18"/>
    </row>
    <row r="705" spans="1:12" s="13" customFormat="1" ht="19.5" customHeight="1">
      <c r="A705" s="129"/>
      <c r="B705" s="129"/>
      <c r="C705" s="67">
        <v>2020</v>
      </c>
      <c r="D705" s="18">
        <f>H705+I705+J705</f>
        <v>0</v>
      </c>
      <c r="E705" s="18">
        <v>0</v>
      </c>
      <c r="F705" s="18">
        <f t="shared" si="65"/>
        <v>0</v>
      </c>
      <c r="G705" s="18"/>
      <c r="H705" s="18">
        <v>0</v>
      </c>
      <c r="I705" s="18">
        <v>0</v>
      </c>
      <c r="J705" s="18">
        <v>0</v>
      </c>
      <c r="K705" s="126"/>
      <c r="L705" s="18"/>
    </row>
    <row r="706" spans="1:12" s="13" customFormat="1" ht="19.5" customHeight="1">
      <c r="A706" s="129"/>
      <c r="B706" s="129"/>
      <c r="C706" s="67">
        <v>2023</v>
      </c>
      <c r="D706" s="18">
        <f>F706+I706+J706</f>
        <v>0</v>
      </c>
      <c r="E706" s="18">
        <v>0</v>
      </c>
      <c r="F706" s="18">
        <f t="shared" si="65"/>
        <v>0</v>
      </c>
      <c r="G706" s="18"/>
      <c r="H706" s="18">
        <v>0</v>
      </c>
      <c r="I706" s="18">
        <v>0</v>
      </c>
      <c r="J706" s="130">
        <v>0</v>
      </c>
      <c r="K706" s="126"/>
      <c r="L706" s="18"/>
    </row>
    <row r="707" spans="1:12" s="13" customFormat="1" ht="19.5" customHeight="1">
      <c r="A707" s="18" t="s">
        <v>269</v>
      </c>
      <c r="B707" s="18" t="s">
        <v>270</v>
      </c>
      <c r="C707" s="67">
        <v>2017</v>
      </c>
      <c r="D707" s="18">
        <f>H707+I707</f>
        <v>7571.59784</v>
      </c>
      <c r="E707" s="18">
        <v>0</v>
      </c>
      <c r="F707" s="18">
        <f aca="true" t="shared" si="66" ref="F707:F710">G707+H707</f>
        <v>2218.895</v>
      </c>
      <c r="G707" s="18"/>
      <c r="H707" s="18">
        <v>2218.895</v>
      </c>
      <c r="I707" s="18">
        <v>5352.70284</v>
      </c>
      <c r="J707" s="83">
        <v>0</v>
      </c>
      <c r="K707" s="126" t="s">
        <v>144</v>
      </c>
      <c r="L707" s="18"/>
    </row>
    <row r="708" spans="1:12" s="13" customFormat="1" ht="19.5" customHeight="1">
      <c r="A708" s="18"/>
      <c r="B708" s="18"/>
      <c r="C708" s="67">
        <v>2018</v>
      </c>
      <c r="D708" s="18">
        <f>E708+H708+I708+J708</f>
        <v>9132.78455</v>
      </c>
      <c r="E708" s="18">
        <v>0</v>
      </c>
      <c r="F708" s="18">
        <f t="shared" si="66"/>
        <v>2708.303</v>
      </c>
      <c r="G708" s="18"/>
      <c r="H708" s="18">
        <f>2708.303</f>
        <v>2708.303</v>
      </c>
      <c r="I708" s="18">
        <f>3875.09134+1687.55323</f>
        <v>5562.64457</v>
      </c>
      <c r="J708" s="83">
        <v>861.83698</v>
      </c>
      <c r="K708" s="126"/>
      <c r="L708" s="18"/>
    </row>
    <row r="709" spans="1:12" s="13" customFormat="1" ht="19.5" customHeight="1">
      <c r="A709" s="18"/>
      <c r="B709" s="18"/>
      <c r="C709" s="67">
        <v>2019</v>
      </c>
      <c r="D709" s="18">
        <f aca="true" t="shared" si="67" ref="D709:D711">H709+I709+J709</f>
        <v>8303.90225</v>
      </c>
      <c r="E709" s="18">
        <v>0</v>
      </c>
      <c r="F709" s="18">
        <f t="shared" si="66"/>
        <v>2435.886</v>
      </c>
      <c r="G709" s="18"/>
      <c r="H709" s="18">
        <v>2435.886</v>
      </c>
      <c r="I709" s="18">
        <f>2523.363+2303.981+23.79343</f>
        <v>4851.13743</v>
      </c>
      <c r="J709" s="83">
        <f>866.87882+150</f>
        <v>1016.87882</v>
      </c>
      <c r="K709" s="126"/>
      <c r="L709" s="18"/>
    </row>
    <row r="710" spans="1:12" s="13" customFormat="1" ht="19.5" customHeight="1">
      <c r="A710" s="18"/>
      <c r="B710" s="18"/>
      <c r="C710" s="67">
        <v>2020</v>
      </c>
      <c r="D710" s="18">
        <f t="shared" si="67"/>
        <v>8957.809860000001</v>
      </c>
      <c r="E710" s="18">
        <v>0</v>
      </c>
      <c r="F710" s="18">
        <f t="shared" si="66"/>
        <v>2598.636</v>
      </c>
      <c r="G710" s="18"/>
      <c r="H710" s="18">
        <v>2598.636</v>
      </c>
      <c r="I710" s="18">
        <f>3607.222+2455.442</f>
        <v>6062.664000000001</v>
      </c>
      <c r="J710" s="83">
        <f>196.50986+100</f>
        <v>296.50986</v>
      </c>
      <c r="K710" s="126"/>
      <c r="L710" s="18"/>
    </row>
    <row r="711" spans="1:12" s="13" customFormat="1" ht="19.5" customHeight="1">
      <c r="A711" s="18"/>
      <c r="B711" s="18"/>
      <c r="C711" s="67">
        <v>2021</v>
      </c>
      <c r="D711" s="18">
        <f t="shared" si="67"/>
        <v>9762.65034</v>
      </c>
      <c r="E711" s="18">
        <v>0</v>
      </c>
      <c r="F711" s="18">
        <f aca="true" t="shared" si="68" ref="F711:F714">H711</f>
        <v>3093.396</v>
      </c>
      <c r="G711" s="18"/>
      <c r="H711" s="18">
        <v>3093.396</v>
      </c>
      <c r="I711" s="18">
        <f>5829.25434</f>
        <v>5829.25434</v>
      </c>
      <c r="J711" s="83">
        <v>840</v>
      </c>
      <c r="K711" s="126"/>
      <c r="L711" s="18"/>
    </row>
    <row r="712" spans="1:12" s="13" customFormat="1" ht="19.5" customHeight="1">
      <c r="A712" s="18"/>
      <c r="B712" s="18"/>
      <c r="C712" s="67">
        <v>2022</v>
      </c>
      <c r="D712" s="18">
        <f>F712+I712+J712</f>
        <v>10007.349</v>
      </c>
      <c r="E712" s="18">
        <v>0</v>
      </c>
      <c r="F712" s="18">
        <f t="shared" si="68"/>
        <v>2920</v>
      </c>
      <c r="G712" s="18"/>
      <c r="H712" s="18">
        <v>2920</v>
      </c>
      <c r="I712" s="18">
        <v>6247.349</v>
      </c>
      <c r="J712" s="83">
        <v>840</v>
      </c>
      <c r="K712" s="126"/>
      <c r="L712" s="18"/>
    </row>
    <row r="713" spans="1:12" s="13" customFormat="1" ht="19.5" customHeight="1">
      <c r="A713" s="18"/>
      <c r="B713" s="18"/>
      <c r="C713" s="67">
        <v>2023</v>
      </c>
      <c r="D713" s="18">
        <f>H713+I713+J713</f>
        <v>9635.751</v>
      </c>
      <c r="E713" s="18">
        <v>0</v>
      </c>
      <c r="F713" s="18">
        <f t="shared" si="68"/>
        <v>2920</v>
      </c>
      <c r="G713" s="18"/>
      <c r="H713" s="18">
        <v>2920</v>
      </c>
      <c r="I713" s="18">
        <v>5875.751</v>
      </c>
      <c r="J713" s="83">
        <v>840</v>
      </c>
      <c r="K713" s="126"/>
      <c r="L713" s="18"/>
    </row>
    <row r="714" spans="1:12" s="13" customFormat="1" ht="19.5" customHeight="1">
      <c r="A714" s="18"/>
      <c r="B714" s="18"/>
      <c r="C714" s="67">
        <v>2024</v>
      </c>
      <c r="D714" s="131">
        <f>F714+I714+J714</f>
        <v>9646.821</v>
      </c>
      <c r="E714" s="18">
        <v>0</v>
      </c>
      <c r="F714" s="18">
        <f t="shared" si="68"/>
        <v>2920</v>
      </c>
      <c r="G714" s="18"/>
      <c r="H714" s="18">
        <v>2920</v>
      </c>
      <c r="I714" s="18">
        <v>5886.821</v>
      </c>
      <c r="J714" s="83">
        <v>840</v>
      </c>
      <c r="K714" s="128"/>
      <c r="L714" s="18"/>
    </row>
    <row r="715" spans="1:12" s="13" customFormat="1" ht="19.5" customHeight="1">
      <c r="A715" s="18" t="s">
        <v>271</v>
      </c>
      <c r="B715" s="18" t="s">
        <v>272</v>
      </c>
      <c r="C715" s="67">
        <v>2017</v>
      </c>
      <c r="D715" s="18">
        <f>H715+I715+J715</f>
        <v>7311.10506</v>
      </c>
      <c r="E715" s="18">
        <v>0</v>
      </c>
      <c r="F715" s="18">
        <f aca="true" t="shared" si="69" ref="F715:F718">G715+H715</f>
        <v>1796.192</v>
      </c>
      <c r="G715" s="18"/>
      <c r="H715" s="18">
        <v>1796.192</v>
      </c>
      <c r="I715" s="18">
        <v>5514.91306</v>
      </c>
      <c r="J715" s="83">
        <v>0</v>
      </c>
      <c r="K715" s="126" t="s">
        <v>108</v>
      </c>
      <c r="L715" s="18"/>
    </row>
    <row r="716" spans="1:12" s="13" customFormat="1" ht="19.5" customHeight="1">
      <c r="A716" s="18"/>
      <c r="B716" s="18"/>
      <c r="C716" s="67">
        <v>2018</v>
      </c>
      <c r="D716" s="18">
        <f>E716+H716+I716+J716</f>
        <v>7880.230140000001</v>
      </c>
      <c r="E716" s="18">
        <v>0</v>
      </c>
      <c r="F716" s="18">
        <f t="shared" si="69"/>
        <v>1605.97</v>
      </c>
      <c r="G716" s="18"/>
      <c r="H716" s="18">
        <v>1605.97</v>
      </c>
      <c r="I716" s="18">
        <f>3872.66396+1732.99351</f>
        <v>5605.65747</v>
      </c>
      <c r="J716" s="83">
        <v>668.60267</v>
      </c>
      <c r="K716" s="126"/>
      <c r="L716" s="18"/>
    </row>
    <row r="717" spans="1:12" s="13" customFormat="1" ht="19.5" customHeight="1">
      <c r="A717" s="18"/>
      <c r="B717" s="18"/>
      <c r="C717" s="67">
        <v>2019</v>
      </c>
      <c r="D717" s="18">
        <f>F717+I717+J717</f>
        <v>9120.455909999999</v>
      </c>
      <c r="E717" s="18">
        <v>0</v>
      </c>
      <c r="F717" s="18">
        <f t="shared" si="69"/>
        <v>1474.984</v>
      </c>
      <c r="G717" s="18"/>
      <c r="H717" s="18">
        <v>1474.984</v>
      </c>
      <c r="I717" s="18">
        <f>1825.366+1830.649+132.158</f>
        <v>3788.173</v>
      </c>
      <c r="J717" s="83">
        <f>3707.29891+150</f>
        <v>3857.29891</v>
      </c>
      <c r="K717" s="126"/>
      <c r="L717" s="18"/>
    </row>
    <row r="718" spans="1:12" s="13" customFormat="1" ht="19.5" customHeight="1">
      <c r="A718" s="18"/>
      <c r="B718" s="18"/>
      <c r="C718" s="67">
        <v>2020</v>
      </c>
      <c r="D718" s="18">
        <f aca="true" t="shared" si="70" ref="D718:D719">H718+I718+J718</f>
        <v>9007.71767</v>
      </c>
      <c r="E718" s="18">
        <v>0</v>
      </c>
      <c r="F718" s="18">
        <f t="shared" si="69"/>
        <v>1474.984</v>
      </c>
      <c r="G718" s="18"/>
      <c r="H718" s="18">
        <f>1474.984</f>
        <v>1474.984</v>
      </c>
      <c r="I718" s="18">
        <f>3706.741+1896.171</f>
        <v>5602.912</v>
      </c>
      <c r="J718" s="83">
        <f>1709.82167+220</f>
        <v>1929.82167</v>
      </c>
      <c r="K718" s="126"/>
      <c r="L718" s="18"/>
    </row>
    <row r="719" spans="1:12" s="13" customFormat="1" ht="19.5" customHeight="1">
      <c r="A719" s="18"/>
      <c r="B719" s="18"/>
      <c r="C719" s="67">
        <v>2021</v>
      </c>
      <c r="D719" s="18">
        <f t="shared" si="70"/>
        <v>11408.58989</v>
      </c>
      <c r="E719" s="18">
        <v>0</v>
      </c>
      <c r="F719" s="18">
        <f aca="true" t="shared" si="71" ref="F719:F722">H719</f>
        <v>1814.9</v>
      </c>
      <c r="G719" s="18"/>
      <c r="H719" s="18">
        <v>1814.9</v>
      </c>
      <c r="I719" s="18">
        <f>5693.68989</f>
        <v>5693.68989</v>
      </c>
      <c r="J719" s="83">
        <v>3900</v>
      </c>
      <c r="K719" s="126"/>
      <c r="L719" s="18"/>
    </row>
    <row r="720" spans="1:12" s="13" customFormat="1" ht="19.5" customHeight="1">
      <c r="A720" s="18"/>
      <c r="B720" s="18"/>
      <c r="C720" s="67">
        <v>2022</v>
      </c>
      <c r="D720" s="18">
        <f>F720+I720+J720</f>
        <v>11550.587</v>
      </c>
      <c r="E720" s="18">
        <v>0</v>
      </c>
      <c r="F720" s="18">
        <f t="shared" si="71"/>
        <v>1820</v>
      </c>
      <c r="G720" s="18"/>
      <c r="H720" s="18">
        <v>1820</v>
      </c>
      <c r="I720" s="18">
        <v>5830.587</v>
      </c>
      <c r="J720" s="83">
        <v>3900</v>
      </c>
      <c r="K720" s="126"/>
      <c r="L720" s="18"/>
    </row>
    <row r="721" spans="1:12" s="13" customFormat="1" ht="19.5" customHeight="1">
      <c r="A721" s="18"/>
      <c r="B721" s="18"/>
      <c r="C721" s="67">
        <v>2023</v>
      </c>
      <c r="D721" s="18">
        <f>H721+I721+J721</f>
        <v>11052.056</v>
      </c>
      <c r="E721" s="18">
        <v>0</v>
      </c>
      <c r="F721" s="18">
        <f t="shared" si="71"/>
        <v>1820</v>
      </c>
      <c r="G721" s="18"/>
      <c r="H721" s="18">
        <v>1820</v>
      </c>
      <c r="I721" s="18">
        <v>5332.056</v>
      </c>
      <c r="J721" s="83">
        <v>3900</v>
      </c>
      <c r="K721" s="126"/>
      <c r="L721" s="18"/>
    </row>
    <row r="722" spans="1:12" s="13" customFormat="1" ht="19.5" customHeight="1">
      <c r="A722" s="18"/>
      <c r="B722" s="18"/>
      <c r="C722" s="67">
        <v>2024</v>
      </c>
      <c r="D722" s="18">
        <f>F722+I722+J722</f>
        <v>11110.146</v>
      </c>
      <c r="E722" s="18">
        <v>0</v>
      </c>
      <c r="F722" s="18">
        <f t="shared" si="71"/>
        <v>1820</v>
      </c>
      <c r="G722" s="18"/>
      <c r="H722" s="18">
        <v>1820</v>
      </c>
      <c r="I722" s="18">
        <v>5390.146</v>
      </c>
      <c r="J722" s="83">
        <v>3900</v>
      </c>
      <c r="K722" s="128"/>
      <c r="L722" s="18"/>
    </row>
    <row r="723" spans="1:12" s="13" customFormat="1" ht="19.5" customHeight="1">
      <c r="A723" s="18" t="s">
        <v>273</v>
      </c>
      <c r="B723" s="18" t="s">
        <v>274</v>
      </c>
      <c r="C723" s="67">
        <v>2017</v>
      </c>
      <c r="D723" s="18">
        <f>H723+I723</f>
        <v>1787.53995</v>
      </c>
      <c r="E723" s="18">
        <v>0</v>
      </c>
      <c r="F723" s="18">
        <v>0</v>
      </c>
      <c r="G723" s="18"/>
      <c r="H723" s="18">
        <v>0</v>
      </c>
      <c r="I723" s="18">
        <v>1787.53995</v>
      </c>
      <c r="J723" s="83">
        <v>0</v>
      </c>
      <c r="K723" s="126" t="s">
        <v>120</v>
      </c>
      <c r="L723" s="18"/>
    </row>
    <row r="724" spans="1:12" s="13" customFormat="1" ht="19.5" customHeight="1">
      <c r="A724" s="18"/>
      <c r="B724" s="18"/>
      <c r="C724" s="67">
        <v>2018</v>
      </c>
      <c r="D724" s="18">
        <f>E724+H724+I724+J724</f>
        <v>2010.1684899999998</v>
      </c>
      <c r="E724" s="18">
        <v>0</v>
      </c>
      <c r="F724" s="18">
        <v>0</v>
      </c>
      <c r="G724" s="18"/>
      <c r="H724" s="18">
        <v>0</v>
      </c>
      <c r="I724" s="18">
        <f>1396.513+40.091-0.01909</f>
        <v>1436.5849099999998</v>
      </c>
      <c r="J724" s="83">
        <v>573.58358</v>
      </c>
      <c r="K724" s="126"/>
      <c r="L724" s="18"/>
    </row>
    <row r="725" spans="1:12" s="13" customFormat="1" ht="19.5" customHeight="1">
      <c r="A725" s="18"/>
      <c r="B725" s="18"/>
      <c r="C725" s="67">
        <v>2019</v>
      </c>
      <c r="D725" s="18">
        <f>E725+I725+J725</f>
        <v>2727.52317</v>
      </c>
      <c r="E725" s="18">
        <v>0</v>
      </c>
      <c r="F725" s="18">
        <v>0</v>
      </c>
      <c r="G725" s="18"/>
      <c r="H725" s="18">
        <v>0</v>
      </c>
      <c r="I725" s="18">
        <f>2012.398</f>
        <v>2012.398</v>
      </c>
      <c r="J725" s="83">
        <f>615.12517+100</f>
        <v>715.12517</v>
      </c>
      <c r="K725" s="126"/>
      <c r="L725" s="18"/>
    </row>
    <row r="726" spans="1:12" s="13" customFormat="1" ht="19.5" customHeight="1">
      <c r="A726" s="18"/>
      <c r="B726" s="18"/>
      <c r="C726" s="67">
        <v>2020</v>
      </c>
      <c r="D726" s="18">
        <f>I726+J726</f>
        <v>2518.4664000000002</v>
      </c>
      <c r="E726" s="18">
        <v>0</v>
      </c>
      <c r="F726" s="18">
        <v>0</v>
      </c>
      <c r="G726" s="18"/>
      <c r="H726" s="18">
        <v>0</v>
      </c>
      <c r="I726" s="18">
        <f>1976.976+24.612</f>
        <v>2001.5880000000002</v>
      </c>
      <c r="J726" s="83">
        <f>416.8784+100</f>
        <v>516.8784</v>
      </c>
      <c r="K726" s="126"/>
      <c r="L726" s="18"/>
    </row>
    <row r="727" spans="1:12" s="13" customFormat="1" ht="19.5" customHeight="1">
      <c r="A727" s="18"/>
      <c r="B727" s="18"/>
      <c r="C727" s="67">
        <v>2021</v>
      </c>
      <c r="D727" s="18">
        <f>H727+I727+J727</f>
        <v>3085.96133</v>
      </c>
      <c r="E727" s="18">
        <v>0</v>
      </c>
      <c r="F727" s="18">
        <v>0</v>
      </c>
      <c r="G727" s="18"/>
      <c r="H727" s="18">
        <f>H726</f>
        <v>0</v>
      </c>
      <c r="I727" s="18">
        <f>2034.39145+151.56988</f>
        <v>2185.96133</v>
      </c>
      <c r="J727" s="83">
        <v>900</v>
      </c>
      <c r="K727" s="126"/>
      <c r="L727" s="18"/>
    </row>
    <row r="728" spans="1:12" s="13" customFormat="1" ht="19.5" customHeight="1">
      <c r="A728" s="18"/>
      <c r="B728" s="18"/>
      <c r="C728" s="67">
        <v>2022</v>
      </c>
      <c r="D728" s="18">
        <f>I728+J728</f>
        <v>3141.122</v>
      </c>
      <c r="E728" s="18"/>
      <c r="F728" s="18">
        <v>0</v>
      </c>
      <c r="G728" s="18"/>
      <c r="H728" s="18">
        <v>0</v>
      </c>
      <c r="I728" s="18">
        <v>2291.122</v>
      </c>
      <c r="J728" s="83">
        <v>850</v>
      </c>
      <c r="K728" s="126"/>
      <c r="L728" s="18"/>
    </row>
    <row r="729" spans="1:12" s="13" customFormat="1" ht="19.5" customHeight="1">
      <c r="A729" s="18"/>
      <c r="B729" s="18"/>
      <c r="C729" s="67">
        <v>2023</v>
      </c>
      <c r="D729" s="18">
        <f>H729+I729+J729</f>
        <v>3072.799</v>
      </c>
      <c r="E729" s="18">
        <v>0</v>
      </c>
      <c r="F729" s="18">
        <v>0</v>
      </c>
      <c r="G729" s="18"/>
      <c r="H729" s="18">
        <f>H727</f>
        <v>0</v>
      </c>
      <c r="I729" s="18">
        <v>2222.799</v>
      </c>
      <c r="J729" s="83">
        <v>850</v>
      </c>
      <c r="K729" s="126"/>
      <c r="L729" s="18"/>
    </row>
    <row r="730" spans="1:12" s="13" customFormat="1" ht="19.5" customHeight="1">
      <c r="A730" s="18"/>
      <c r="B730" s="18"/>
      <c r="C730" s="67">
        <v>2024</v>
      </c>
      <c r="D730" s="18">
        <f>I730+J730</f>
        <v>3012.489</v>
      </c>
      <c r="E730" s="18"/>
      <c r="F730" s="18">
        <v>0</v>
      </c>
      <c r="G730" s="18"/>
      <c r="H730" s="18">
        <v>0</v>
      </c>
      <c r="I730" s="18">
        <v>2162.489</v>
      </c>
      <c r="J730" s="83">
        <v>850</v>
      </c>
      <c r="K730" s="128"/>
      <c r="L730" s="18"/>
    </row>
    <row r="731" spans="1:12" s="13" customFormat="1" ht="19.5" customHeight="1">
      <c r="A731" s="18" t="s">
        <v>275</v>
      </c>
      <c r="B731" s="18" t="s">
        <v>276</v>
      </c>
      <c r="C731" s="67">
        <v>2017</v>
      </c>
      <c r="D731" s="18">
        <f>H731+I731</f>
        <v>3025.10411</v>
      </c>
      <c r="E731" s="18">
        <v>0</v>
      </c>
      <c r="F731" s="18">
        <f>H731+G731</f>
        <v>1177.145</v>
      </c>
      <c r="G731" s="18"/>
      <c r="H731" s="18">
        <v>1177.145</v>
      </c>
      <c r="I731" s="18">
        <v>1847.95911</v>
      </c>
      <c r="J731" s="83">
        <v>0</v>
      </c>
      <c r="K731" s="110" t="s">
        <v>153</v>
      </c>
      <c r="L731" s="18"/>
    </row>
    <row r="732" spans="1:12" s="13" customFormat="1" ht="19.5" customHeight="1">
      <c r="A732" s="18"/>
      <c r="B732" s="18"/>
      <c r="C732" s="67">
        <v>2018</v>
      </c>
      <c r="D732" s="18">
        <f>E732+H732+I732</f>
        <v>2856.56973</v>
      </c>
      <c r="E732" s="18">
        <v>0</v>
      </c>
      <c r="F732" s="18">
        <f aca="true" t="shared" si="72" ref="F732:F734">G732+H732</f>
        <v>1236.702</v>
      </c>
      <c r="G732" s="18"/>
      <c r="H732" s="18">
        <v>1236.702</v>
      </c>
      <c r="I732" s="18">
        <f>583.44253+1036.4252</f>
        <v>1619.86773</v>
      </c>
      <c r="J732" s="83">
        <v>0</v>
      </c>
      <c r="K732" s="110"/>
      <c r="L732" s="18"/>
    </row>
    <row r="733" spans="1:12" s="13" customFormat="1" ht="19.5" customHeight="1">
      <c r="A733" s="18"/>
      <c r="B733" s="18"/>
      <c r="C733" s="67">
        <v>2019</v>
      </c>
      <c r="D733" s="18">
        <f aca="true" t="shared" si="73" ref="D733:D737">H733+I733+J733</f>
        <v>3233.91</v>
      </c>
      <c r="E733" s="18">
        <v>0</v>
      </c>
      <c r="F733" s="18">
        <f t="shared" si="72"/>
        <v>1262.191</v>
      </c>
      <c r="G733" s="18"/>
      <c r="H733" s="18">
        <f>1262.191</f>
        <v>1262.191</v>
      </c>
      <c r="I733" s="18">
        <f>660.205+1311.514</f>
        <v>1971.719</v>
      </c>
      <c r="J733" s="83">
        <v>0</v>
      </c>
      <c r="K733" s="110"/>
      <c r="L733" s="18"/>
    </row>
    <row r="734" spans="1:12" s="13" customFormat="1" ht="19.5" customHeight="1">
      <c r="A734" s="18"/>
      <c r="B734" s="18"/>
      <c r="C734" s="67">
        <v>2020</v>
      </c>
      <c r="D734" s="18">
        <f t="shared" si="73"/>
        <v>3436.75</v>
      </c>
      <c r="E734" s="18">
        <v>0</v>
      </c>
      <c r="F734" s="18">
        <f t="shared" si="72"/>
        <v>1405.42</v>
      </c>
      <c r="G734" s="18"/>
      <c r="H734" s="18">
        <f>1405.42</f>
        <v>1405.42</v>
      </c>
      <c r="I734" s="18">
        <f>714.875+1299.455+17</f>
        <v>2031.33</v>
      </c>
      <c r="J734" s="83">
        <v>0</v>
      </c>
      <c r="K734" s="110"/>
      <c r="L734" s="18"/>
    </row>
    <row r="735" spans="1:12" s="13" customFormat="1" ht="19.5" customHeight="1">
      <c r="A735" s="18"/>
      <c r="B735" s="18"/>
      <c r="C735" s="67">
        <v>2021</v>
      </c>
      <c r="D735" s="18">
        <f t="shared" si="73"/>
        <v>3689.72892</v>
      </c>
      <c r="E735" s="18">
        <v>0</v>
      </c>
      <c r="F735" s="18">
        <f aca="true" t="shared" si="74" ref="F735:F738">H735</f>
        <v>1643.74</v>
      </c>
      <c r="G735" s="18"/>
      <c r="H735" s="18">
        <v>1643.74</v>
      </c>
      <c r="I735" s="18">
        <f>2045.98892</f>
        <v>2045.98892</v>
      </c>
      <c r="J735" s="83">
        <f aca="true" t="shared" si="75" ref="J735:J736">J26</f>
        <v>0</v>
      </c>
      <c r="K735" s="110"/>
      <c r="L735" s="18"/>
    </row>
    <row r="736" spans="1:12" s="13" customFormat="1" ht="19.5" customHeight="1">
      <c r="A736" s="18"/>
      <c r="B736" s="18"/>
      <c r="C736" s="67">
        <v>2022</v>
      </c>
      <c r="D736" s="18">
        <f t="shared" si="73"/>
        <v>3723.488</v>
      </c>
      <c r="E736" s="18">
        <v>0</v>
      </c>
      <c r="F736" s="18">
        <f t="shared" si="74"/>
        <v>1610</v>
      </c>
      <c r="G736" s="18"/>
      <c r="H736" s="18">
        <v>1610</v>
      </c>
      <c r="I736" s="18">
        <v>2113.488</v>
      </c>
      <c r="J736" s="83">
        <f t="shared" si="75"/>
        <v>0</v>
      </c>
      <c r="K736" s="110"/>
      <c r="L736" s="18"/>
    </row>
    <row r="737" spans="1:12" s="13" customFormat="1" ht="19.5" customHeight="1">
      <c r="A737" s="18"/>
      <c r="B737" s="18"/>
      <c r="C737" s="67">
        <v>2023</v>
      </c>
      <c r="D737" s="18">
        <f t="shared" si="73"/>
        <v>3613.248</v>
      </c>
      <c r="E737" s="18">
        <v>0</v>
      </c>
      <c r="F737" s="18">
        <f t="shared" si="74"/>
        <v>1610</v>
      </c>
      <c r="G737" s="18"/>
      <c r="H737" s="18">
        <v>1610</v>
      </c>
      <c r="I737" s="18">
        <v>2003.248</v>
      </c>
      <c r="J737" s="83">
        <v>0</v>
      </c>
      <c r="K737" s="110"/>
      <c r="L737" s="18"/>
    </row>
    <row r="738" spans="1:12" s="13" customFormat="1" ht="19.5" customHeight="1">
      <c r="A738" s="18"/>
      <c r="B738" s="18"/>
      <c r="C738" s="67">
        <v>2024</v>
      </c>
      <c r="D738" s="18">
        <f>F738+I738</f>
        <v>3613.248</v>
      </c>
      <c r="E738" s="18">
        <v>0</v>
      </c>
      <c r="F738" s="18">
        <f t="shared" si="74"/>
        <v>1610</v>
      </c>
      <c r="G738" s="18"/>
      <c r="H738" s="18">
        <v>1610</v>
      </c>
      <c r="I738" s="18">
        <v>2003.248</v>
      </c>
      <c r="J738" s="83">
        <v>0</v>
      </c>
      <c r="K738" s="132"/>
      <c r="L738" s="18"/>
    </row>
    <row r="739" spans="1:12" s="13" customFormat="1" ht="19.5" customHeight="1">
      <c r="A739" s="18" t="s">
        <v>277</v>
      </c>
      <c r="B739" s="18" t="s">
        <v>278</v>
      </c>
      <c r="C739" s="67">
        <v>2017</v>
      </c>
      <c r="D739" s="18">
        <f>H739+I739</f>
        <v>9997.699139999999</v>
      </c>
      <c r="E739" s="18">
        <v>0</v>
      </c>
      <c r="F739" s="18">
        <f aca="true" t="shared" si="76" ref="F739:F742">G739+H739</f>
        <v>1384.168</v>
      </c>
      <c r="G739" s="18"/>
      <c r="H739" s="18">
        <v>1384.168</v>
      </c>
      <c r="I739" s="18">
        <v>8613.53114</v>
      </c>
      <c r="J739" s="83">
        <v>0</v>
      </c>
      <c r="K739" s="126" t="s">
        <v>111</v>
      </c>
      <c r="L739" s="18"/>
    </row>
    <row r="740" spans="1:12" s="13" customFormat="1" ht="19.5" customHeight="1">
      <c r="A740" s="18"/>
      <c r="B740" s="18"/>
      <c r="C740" s="67">
        <v>2018</v>
      </c>
      <c r="D740" s="18">
        <f>E740+H740+I740+J740</f>
        <v>10560.688610000001</v>
      </c>
      <c r="E740" s="18">
        <v>0</v>
      </c>
      <c r="F740" s="18">
        <f t="shared" si="76"/>
        <v>1521.225</v>
      </c>
      <c r="G740" s="18"/>
      <c r="H740" s="18">
        <v>1521.225</v>
      </c>
      <c r="I740" s="18">
        <f>6645.89375+1374.32557</f>
        <v>8020.21932</v>
      </c>
      <c r="J740" s="83">
        <v>1019.24429</v>
      </c>
      <c r="K740" s="126"/>
      <c r="L740" s="18"/>
    </row>
    <row r="741" spans="1:12" s="13" customFormat="1" ht="19.5" customHeight="1">
      <c r="A741" s="18"/>
      <c r="B741" s="18"/>
      <c r="C741" s="67">
        <v>2019</v>
      </c>
      <c r="D741" s="18">
        <f aca="true" t="shared" si="77" ref="D741:D742">F741+I741+J741</f>
        <v>10638.6773</v>
      </c>
      <c r="E741" s="18">
        <v>0</v>
      </c>
      <c r="F741" s="18">
        <f t="shared" si="76"/>
        <v>1514.039</v>
      </c>
      <c r="G741" s="18"/>
      <c r="H741" s="18">
        <v>1514.039</v>
      </c>
      <c r="I741" s="18">
        <f>6000.2454+1623.656+373.01001</f>
        <v>7996.91141</v>
      </c>
      <c r="J741" s="83">
        <f>977.72689+150</f>
        <v>1127.72689</v>
      </c>
      <c r="K741" s="126"/>
      <c r="L741" s="18"/>
    </row>
    <row r="742" spans="1:12" s="13" customFormat="1" ht="19.5" customHeight="1">
      <c r="A742" s="18"/>
      <c r="B742" s="18"/>
      <c r="C742" s="67">
        <v>2020</v>
      </c>
      <c r="D742" s="18">
        <f t="shared" si="77"/>
        <v>10067.785</v>
      </c>
      <c r="E742" s="18">
        <v>0</v>
      </c>
      <c r="F742" s="18">
        <f t="shared" si="76"/>
        <v>1592.151</v>
      </c>
      <c r="G742" s="18"/>
      <c r="H742" s="18">
        <f>1592.151</f>
        <v>1592.151</v>
      </c>
      <c r="I742" s="18">
        <f>6081.82846+1793.032</f>
        <v>7874.86046</v>
      </c>
      <c r="J742" s="83">
        <f>450.77354+150</f>
        <v>600.77354</v>
      </c>
      <c r="K742" s="126"/>
      <c r="L742" s="18"/>
    </row>
    <row r="743" spans="1:12" s="13" customFormat="1" ht="19.5" customHeight="1">
      <c r="A743" s="18"/>
      <c r="B743" s="18"/>
      <c r="C743" s="67">
        <v>2021</v>
      </c>
      <c r="D743" s="18">
        <f aca="true" t="shared" si="78" ref="D743:D745">H743+I743+J743</f>
        <v>10167.67235</v>
      </c>
      <c r="E743" s="18">
        <v>0</v>
      </c>
      <c r="F743" s="18">
        <f>H743+G743</f>
        <v>1907.235</v>
      </c>
      <c r="G743" s="18"/>
      <c r="H743" s="18">
        <v>1907.235</v>
      </c>
      <c r="I743" s="18">
        <f>7260.0234+66.24637-5.83242</f>
        <v>7320.43735</v>
      </c>
      <c r="J743" s="83">
        <v>940</v>
      </c>
      <c r="K743" s="126"/>
      <c r="L743" s="18"/>
    </row>
    <row r="744" spans="1:12" s="13" customFormat="1" ht="19.5" customHeight="1">
      <c r="A744" s="18"/>
      <c r="B744" s="18"/>
      <c r="C744" s="67">
        <v>2022</v>
      </c>
      <c r="D744" s="18">
        <f t="shared" si="78"/>
        <v>10702.476999999999</v>
      </c>
      <c r="E744" s="18">
        <v>0</v>
      </c>
      <c r="F744" s="18">
        <f>G744+H744</f>
        <v>1820</v>
      </c>
      <c r="G744" s="18"/>
      <c r="H744" s="18">
        <v>1820</v>
      </c>
      <c r="I744" s="18">
        <v>7942.477</v>
      </c>
      <c r="J744" s="83">
        <v>940</v>
      </c>
      <c r="K744" s="126"/>
      <c r="L744" s="18"/>
    </row>
    <row r="745" spans="1:12" s="13" customFormat="1" ht="19.5" customHeight="1">
      <c r="A745" s="18"/>
      <c r="B745" s="18"/>
      <c r="C745" s="67">
        <v>2023</v>
      </c>
      <c r="D745" s="18">
        <f t="shared" si="78"/>
        <v>9682.097</v>
      </c>
      <c r="E745" s="18">
        <v>0</v>
      </c>
      <c r="F745" s="18">
        <f>H745+I745</f>
        <v>8742.097</v>
      </c>
      <c r="G745" s="18"/>
      <c r="H745" s="18">
        <v>1820</v>
      </c>
      <c r="I745" s="18">
        <v>6922.097</v>
      </c>
      <c r="J745" s="83">
        <v>940</v>
      </c>
      <c r="K745" s="126"/>
      <c r="L745" s="18"/>
    </row>
    <row r="746" spans="1:12" s="13" customFormat="1" ht="19.5" customHeight="1">
      <c r="A746" s="18"/>
      <c r="B746" s="18"/>
      <c r="C746" s="67">
        <v>2024</v>
      </c>
      <c r="D746" s="18">
        <f>F746+I746+J746</f>
        <v>9673.247</v>
      </c>
      <c r="E746" s="18">
        <v>0</v>
      </c>
      <c r="F746" s="18">
        <f>H746</f>
        <v>1820</v>
      </c>
      <c r="G746" s="18"/>
      <c r="H746" s="18">
        <v>1820</v>
      </c>
      <c r="I746" s="18">
        <v>6913.247</v>
      </c>
      <c r="J746" s="83">
        <v>940</v>
      </c>
      <c r="K746" s="133"/>
      <c r="L746" s="18"/>
    </row>
    <row r="747" spans="1:12" s="13" customFormat="1" ht="19.5" customHeight="1">
      <c r="A747" s="18" t="s">
        <v>279</v>
      </c>
      <c r="B747" s="18" t="s">
        <v>280</v>
      </c>
      <c r="C747" s="78">
        <v>2017</v>
      </c>
      <c r="D747" s="18">
        <f>J744+I747</f>
        <v>11940</v>
      </c>
      <c r="E747" s="18">
        <v>0</v>
      </c>
      <c r="F747" s="18">
        <v>0</v>
      </c>
      <c r="G747" s="18"/>
      <c r="H747" s="18">
        <v>0</v>
      </c>
      <c r="I747" s="18">
        <v>11000</v>
      </c>
      <c r="J747" s="83">
        <v>0</v>
      </c>
      <c r="K747" s="134"/>
      <c r="L747" s="18"/>
    </row>
    <row r="748" spans="1:12" s="13" customFormat="1" ht="19.5" customHeight="1">
      <c r="A748" s="18"/>
      <c r="B748" s="18"/>
      <c r="C748" s="78">
        <v>2018</v>
      </c>
      <c r="D748" s="81">
        <f>I748</f>
        <v>0</v>
      </c>
      <c r="E748" s="81">
        <v>0</v>
      </c>
      <c r="F748" s="81">
        <v>0</v>
      </c>
      <c r="G748" s="81"/>
      <c r="H748" s="81">
        <v>0</v>
      </c>
      <c r="I748" s="81">
        <v>0</v>
      </c>
      <c r="J748" s="110">
        <v>0</v>
      </c>
      <c r="K748" s="134"/>
      <c r="L748" s="18"/>
    </row>
    <row r="749" spans="1:12" s="13" customFormat="1" ht="19.5" customHeight="1">
      <c r="A749" s="18"/>
      <c r="B749" s="18"/>
      <c r="C749" s="78">
        <v>2019</v>
      </c>
      <c r="D749" s="81">
        <v>0</v>
      </c>
      <c r="E749" s="81">
        <v>0</v>
      </c>
      <c r="F749" s="81">
        <v>0</v>
      </c>
      <c r="G749" s="81"/>
      <c r="H749" s="81">
        <v>0</v>
      </c>
      <c r="I749" s="81">
        <v>0</v>
      </c>
      <c r="J749" s="110">
        <v>0</v>
      </c>
      <c r="K749" s="134"/>
      <c r="L749" s="18"/>
    </row>
    <row r="750" spans="1:12" s="13" customFormat="1" ht="19.5" customHeight="1">
      <c r="A750" s="18"/>
      <c r="B750" s="18"/>
      <c r="C750" s="135">
        <v>2020</v>
      </c>
      <c r="D750" s="136">
        <v>0</v>
      </c>
      <c r="E750" s="136">
        <v>0</v>
      </c>
      <c r="F750" s="137">
        <v>0</v>
      </c>
      <c r="G750" s="136"/>
      <c r="H750" s="137">
        <v>0</v>
      </c>
      <c r="I750" s="137">
        <v>0</v>
      </c>
      <c r="J750" s="136">
        <v>0</v>
      </c>
      <c r="K750" s="134"/>
      <c r="L750" s="18"/>
    </row>
    <row r="751" spans="1:12" s="13" customFormat="1" ht="19.5" customHeight="1">
      <c r="A751" s="18"/>
      <c r="B751" s="18"/>
      <c r="C751" s="135">
        <v>2021</v>
      </c>
      <c r="D751" s="136">
        <v>0</v>
      </c>
      <c r="E751" s="136">
        <v>0</v>
      </c>
      <c r="F751" s="137">
        <v>0</v>
      </c>
      <c r="G751" s="136"/>
      <c r="H751" s="137">
        <v>0</v>
      </c>
      <c r="I751" s="137">
        <v>0</v>
      </c>
      <c r="J751" s="136">
        <v>0</v>
      </c>
      <c r="K751" s="134"/>
      <c r="L751" s="18"/>
    </row>
    <row r="752" spans="1:12" s="13" customFormat="1" ht="19.5" customHeight="1">
      <c r="A752" s="18"/>
      <c r="B752" s="18"/>
      <c r="C752" s="135">
        <v>2022</v>
      </c>
      <c r="D752" s="136">
        <v>0</v>
      </c>
      <c r="E752" s="136">
        <v>0</v>
      </c>
      <c r="F752" s="137">
        <v>0</v>
      </c>
      <c r="G752" s="136"/>
      <c r="H752" s="137">
        <v>0</v>
      </c>
      <c r="I752" s="137">
        <v>0</v>
      </c>
      <c r="J752" s="136">
        <v>0</v>
      </c>
      <c r="K752" s="134"/>
      <c r="L752" s="18"/>
    </row>
    <row r="753" spans="1:12" s="13" customFormat="1" ht="19.5" customHeight="1">
      <c r="A753" s="18"/>
      <c r="B753" s="18"/>
      <c r="C753" s="135">
        <v>2023</v>
      </c>
      <c r="D753" s="136">
        <v>0</v>
      </c>
      <c r="E753" s="136">
        <v>0</v>
      </c>
      <c r="F753" s="137">
        <v>0</v>
      </c>
      <c r="G753" s="136"/>
      <c r="H753" s="137">
        <v>0</v>
      </c>
      <c r="I753" s="137">
        <v>0</v>
      </c>
      <c r="J753" s="136">
        <v>0</v>
      </c>
      <c r="K753" s="134"/>
      <c r="L753" s="18"/>
    </row>
    <row r="754" spans="1:12" s="13" customFormat="1" ht="19.5" customHeight="1">
      <c r="A754" s="123" t="s">
        <v>99</v>
      </c>
      <c r="B754" s="123"/>
      <c r="C754" s="100">
        <v>2017</v>
      </c>
      <c r="D754" s="97">
        <f>H754+I754</f>
        <v>71267.23366</v>
      </c>
      <c r="E754" s="97">
        <v>0</v>
      </c>
      <c r="F754" s="97">
        <f>H754+G754</f>
        <v>9022.5</v>
      </c>
      <c r="G754" s="97"/>
      <c r="H754" s="97">
        <f>H739+H731+H715+H707+H700+H692</f>
        <v>9022.5</v>
      </c>
      <c r="I754" s="97">
        <f>I739+I731+I723+I715+I707+I700+I692+I747</f>
        <v>62244.73366</v>
      </c>
      <c r="J754" s="110">
        <v>0</v>
      </c>
      <c r="K754" s="126"/>
      <c r="L754" s="18"/>
    </row>
    <row r="755" spans="1:12" s="13" customFormat="1" ht="19.5" customHeight="1">
      <c r="A755" s="123"/>
      <c r="B755" s="123"/>
      <c r="C755" s="100">
        <v>2018</v>
      </c>
      <c r="D755" s="97">
        <f>H755+I755+J755</f>
        <v>64692.00684</v>
      </c>
      <c r="E755" s="97">
        <f>E224+E231+E238+E245+E657+E658+E668+E669+E670+E690+E694+E702+E709+E717+E718+E724+E732+E740+E683</f>
        <v>0</v>
      </c>
      <c r="F755" s="97">
        <f aca="true" t="shared" si="79" ref="F755:F756">G755+H755</f>
        <v>10191.218</v>
      </c>
      <c r="G755" s="97"/>
      <c r="H755" s="97">
        <f aca="true" t="shared" si="80" ref="H755:H757">H693+H701+H708+H716+H732+H740</f>
        <v>10191.218</v>
      </c>
      <c r="I755" s="97">
        <f>I693+I701+I708+I716+I724+I732+I740+I748</f>
        <v>48561.75009</v>
      </c>
      <c r="J755" s="86">
        <f aca="true" t="shared" si="81" ref="J755:J757">J740+J732+J724+J716+J708+J701+J693</f>
        <v>5939.03875</v>
      </c>
      <c r="K755" s="85"/>
      <c r="L755" s="79"/>
    </row>
    <row r="756" spans="1:12" s="13" customFormat="1" ht="19.5" customHeight="1">
      <c r="A756" s="123"/>
      <c r="B756" s="123"/>
      <c r="C756" s="100">
        <v>2019</v>
      </c>
      <c r="D756" s="97">
        <f>E756+H756+I756+J756</f>
        <v>64963.87522</v>
      </c>
      <c r="E756" s="97">
        <f>E222+E229+E236+E243+E659+E684+E691+E695+E703+E710+E725+E733+E741</f>
        <v>0</v>
      </c>
      <c r="F756" s="97">
        <f t="shared" si="79"/>
        <v>10586.964000000002</v>
      </c>
      <c r="G756" s="97"/>
      <c r="H756" s="97">
        <f t="shared" si="80"/>
        <v>10586.964000000002</v>
      </c>
      <c r="I756" s="97">
        <f>I741+I733+I725+I717+I709+I702+I694</f>
        <v>44433.64029</v>
      </c>
      <c r="J756" s="86">
        <f t="shared" si="81"/>
        <v>9943.270929999999</v>
      </c>
      <c r="K756" s="85"/>
      <c r="L756" s="98"/>
    </row>
    <row r="757" spans="1:12" s="13" customFormat="1" ht="19.5" customHeight="1">
      <c r="A757" s="123"/>
      <c r="B757" s="123"/>
      <c r="C757" s="100">
        <v>2020</v>
      </c>
      <c r="D757" s="97">
        <f aca="true" t="shared" si="82" ref="D757:D759">H757+I757+J757</f>
        <v>67372.24571</v>
      </c>
      <c r="E757" s="97">
        <f>E223+E237+E244+E666+E686+E693+E701+E708+E716+E726+E734+E742</f>
        <v>0</v>
      </c>
      <c r="F757" s="97">
        <f>H757+G757</f>
        <v>11163.9</v>
      </c>
      <c r="G757" s="97"/>
      <c r="H757" s="97">
        <f t="shared" si="80"/>
        <v>11163.9</v>
      </c>
      <c r="I757" s="97">
        <f>I695+I703+I710+I718+I726+I734+I742</f>
        <v>50326.69046</v>
      </c>
      <c r="J757" s="86">
        <f t="shared" si="81"/>
        <v>5881.65525</v>
      </c>
      <c r="K757" s="85"/>
      <c r="L757" s="98"/>
    </row>
    <row r="758" spans="1:12" s="13" customFormat="1" ht="19.5" customHeight="1">
      <c r="A758" s="123"/>
      <c r="B758" s="123"/>
      <c r="C758" s="138">
        <v>2021</v>
      </c>
      <c r="D758" s="139">
        <f t="shared" si="82"/>
        <v>51080.29281</v>
      </c>
      <c r="E758" s="139">
        <v>0</v>
      </c>
      <c r="F758" s="139">
        <f aca="true" t="shared" si="83" ref="F758:F761">H758</f>
        <v>12479.6</v>
      </c>
      <c r="G758" s="139"/>
      <c r="H758" s="139">
        <f>H752+H743+H735+H727+H719+H711+H704+H696</f>
        <v>12479.6</v>
      </c>
      <c r="I758" s="139">
        <f>I752+I743+I735+I727+I719+I704+I696+I711</f>
        <v>31270.69281</v>
      </c>
      <c r="J758" s="139">
        <f>J752+J743+J735+J727+J719+J711+J704+J696</f>
        <v>7330</v>
      </c>
      <c r="K758" s="139"/>
      <c r="L758" s="98"/>
    </row>
    <row r="759" spans="1:12" s="13" customFormat="1" ht="19.5" customHeight="1">
      <c r="A759" s="123"/>
      <c r="B759" s="123"/>
      <c r="C759" s="138">
        <v>2022</v>
      </c>
      <c r="D759" s="139">
        <f t="shared" si="82"/>
        <v>53007.994000000006</v>
      </c>
      <c r="E759" s="139">
        <v>0</v>
      </c>
      <c r="F759" s="139">
        <f t="shared" si="83"/>
        <v>12074.8</v>
      </c>
      <c r="G759" s="139"/>
      <c r="H759" s="139">
        <f aca="true" t="shared" si="84" ref="H759:H760">H744+H736+H728+H720+H712+H705+H697</f>
        <v>12074.8</v>
      </c>
      <c r="I759" s="139">
        <f aca="true" t="shared" si="85" ref="I759:I760">I744+I736+I728+I720+I712+I705+I697</f>
        <v>33653.194</v>
      </c>
      <c r="J759" s="139">
        <f aca="true" t="shared" si="86" ref="J759:J760">J744+J736+J728+J720+J712+J705+J697</f>
        <v>7280</v>
      </c>
      <c r="K759" s="139"/>
      <c r="L759" s="98"/>
    </row>
    <row r="760" spans="1:12" s="13" customFormat="1" ht="19.5" customHeight="1">
      <c r="A760" s="123"/>
      <c r="B760" s="123"/>
      <c r="C760" s="138">
        <v>2023</v>
      </c>
      <c r="D760" s="139">
        <f aca="true" t="shared" si="87" ref="D760:D761">F760+I760+J760</f>
        <v>50033.679000000004</v>
      </c>
      <c r="E760" s="139">
        <v>0</v>
      </c>
      <c r="F760" s="139">
        <f t="shared" si="83"/>
        <v>12074.8</v>
      </c>
      <c r="G760" s="139"/>
      <c r="H760" s="139">
        <f t="shared" si="84"/>
        <v>12074.8</v>
      </c>
      <c r="I760" s="139">
        <f t="shared" si="85"/>
        <v>30678.879</v>
      </c>
      <c r="J760" s="139">
        <f t="shared" si="86"/>
        <v>7280</v>
      </c>
      <c r="K760" s="139"/>
      <c r="L760" s="98"/>
    </row>
    <row r="761" spans="1:12" s="13" customFormat="1" ht="19.5" customHeight="1">
      <c r="A761" s="123"/>
      <c r="B761" s="123"/>
      <c r="C761" s="138">
        <v>2024</v>
      </c>
      <c r="D761" s="139">
        <f t="shared" si="87"/>
        <v>50367.349</v>
      </c>
      <c r="E761" s="139">
        <v>0</v>
      </c>
      <c r="F761" s="139">
        <f t="shared" si="83"/>
        <v>12074.8</v>
      </c>
      <c r="G761" s="139"/>
      <c r="H761" s="139">
        <f>H746+H738+H730+H722+H714+H699</f>
        <v>12074.8</v>
      </c>
      <c r="I761" s="139">
        <f>I746+I738+I730+I722+I714+I699</f>
        <v>31012.549</v>
      </c>
      <c r="J761" s="139">
        <f>J746+J738+J730+J722+J714+J699</f>
        <v>7280</v>
      </c>
      <c r="K761" s="139"/>
      <c r="L761" s="98"/>
    </row>
    <row r="762" spans="1:12" s="13" customFormat="1" ht="19.5" customHeight="1">
      <c r="A762" s="139" t="s">
        <v>281</v>
      </c>
      <c r="B762" s="139"/>
      <c r="C762" s="139"/>
      <c r="D762" s="139"/>
      <c r="E762" s="139"/>
      <c r="F762" s="139"/>
      <c r="G762" s="139"/>
      <c r="H762" s="139"/>
      <c r="I762" s="139"/>
      <c r="J762" s="139"/>
      <c r="K762" s="140"/>
      <c r="L762" s="139"/>
    </row>
    <row r="763" spans="1:12" s="13" customFormat="1" ht="19.5" customHeight="1">
      <c r="A763" s="83" t="s">
        <v>49</v>
      </c>
      <c r="B763" s="140" t="s">
        <v>282</v>
      </c>
      <c r="C763" s="141"/>
      <c r="D763" s="141"/>
      <c r="E763" s="141"/>
      <c r="F763" s="141"/>
      <c r="G763" s="141"/>
      <c r="H763" s="141"/>
      <c r="I763" s="141"/>
      <c r="J763" s="141"/>
      <c r="K763" s="141"/>
      <c r="L763" s="140"/>
    </row>
    <row r="764" spans="1:12" s="13" customFormat="1" ht="19.5" customHeight="1">
      <c r="A764" s="83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</row>
    <row r="765" spans="1:12" s="13" customFormat="1" ht="19.5" customHeight="1">
      <c r="A765" s="143" t="s">
        <v>283</v>
      </c>
      <c r="B765" s="144" t="s">
        <v>284</v>
      </c>
      <c r="C765" s="80">
        <v>2017</v>
      </c>
      <c r="D765" s="81">
        <f>H765</f>
        <v>16.3</v>
      </c>
      <c r="E765" s="81">
        <v>0</v>
      </c>
      <c r="F765" s="81"/>
      <c r="G765" s="81"/>
      <c r="H765" s="81">
        <v>16.3</v>
      </c>
      <c r="I765" s="142">
        <v>0</v>
      </c>
      <c r="J765" s="142">
        <v>0</v>
      </c>
      <c r="K765" s="141"/>
      <c r="L765" s="145" t="s">
        <v>284</v>
      </c>
    </row>
    <row r="766" spans="1:12" s="13" customFormat="1" ht="19.5" customHeight="1">
      <c r="A766" s="143"/>
      <c r="B766" s="144"/>
      <c r="C766" s="67">
        <v>2018</v>
      </c>
      <c r="D766" s="18">
        <f>SUM(E766:I766)</f>
        <v>16.2</v>
      </c>
      <c r="E766" s="97">
        <v>0</v>
      </c>
      <c r="F766" s="97"/>
      <c r="G766" s="97"/>
      <c r="H766" s="18">
        <v>16.2</v>
      </c>
      <c r="I766" s="18">
        <v>0</v>
      </c>
      <c r="J766" s="18">
        <v>0</v>
      </c>
      <c r="K766" s="146"/>
      <c r="L766" s="145"/>
    </row>
    <row r="767" spans="1:12" s="13" customFormat="1" ht="19.5" customHeight="1">
      <c r="A767" s="143"/>
      <c r="B767" s="144"/>
      <c r="C767" s="67">
        <v>2019</v>
      </c>
      <c r="D767" s="18">
        <f aca="true" t="shared" si="88" ref="D767:D768">F767</f>
        <v>16</v>
      </c>
      <c r="E767" s="97">
        <v>0</v>
      </c>
      <c r="F767" s="97">
        <f aca="true" t="shared" si="89" ref="F767:F768">H767</f>
        <v>16</v>
      </c>
      <c r="G767" s="97"/>
      <c r="H767" s="18">
        <v>16</v>
      </c>
      <c r="I767" s="18">
        <v>0</v>
      </c>
      <c r="J767" s="18">
        <v>0</v>
      </c>
      <c r="K767" s="146"/>
      <c r="L767" s="145"/>
    </row>
    <row r="768" spans="1:12" s="13" customFormat="1" ht="19.5" customHeight="1">
      <c r="A768" s="143"/>
      <c r="B768" s="144"/>
      <c r="C768" s="67">
        <v>2020</v>
      </c>
      <c r="D768" s="18">
        <f t="shared" si="88"/>
        <v>16.6</v>
      </c>
      <c r="E768" s="97">
        <f>F768</f>
        <v>16.6</v>
      </c>
      <c r="F768" s="97">
        <f t="shared" si="89"/>
        <v>16.6</v>
      </c>
      <c r="G768" s="97"/>
      <c r="H768" s="18">
        <v>16.6</v>
      </c>
      <c r="I768" s="18">
        <v>0</v>
      </c>
      <c r="J768" s="18">
        <v>0</v>
      </c>
      <c r="K768" s="146"/>
      <c r="L768" s="145"/>
    </row>
    <row r="769" spans="1:12" s="13" customFormat="1" ht="19.5" customHeight="1">
      <c r="A769" s="143"/>
      <c r="B769" s="144"/>
      <c r="C769" s="67">
        <v>2021</v>
      </c>
      <c r="D769" s="18">
        <f aca="true" t="shared" si="90" ref="D769:D770">H769</f>
        <v>0</v>
      </c>
      <c r="E769" s="97">
        <v>33.2</v>
      </c>
      <c r="F769" s="97"/>
      <c r="G769" s="97"/>
      <c r="H769" s="18"/>
      <c r="I769" s="18"/>
      <c r="J769" s="18"/>
      <c r="K769" s="146"/>
      <c r="L769" s="145"/>
    </row>
    <row r="770" spans="1:12" s="13" customFormat="1" ht="19.5" customHeight="1">
      <c r="A770" s="143"/>
      <c r="B770" s="144"/>
      <c r="C770" s="67">
        <v>2022</v>
      </c>
      <c r="D770" s="18">
        <f t="shared" si="90"/>
        <v>0</v>
      </c>
      <c r="E770" s="97">
        <v>17</v>
      </c>
      <c r="F770" s="97"/>
      <c r="G770" s="97"/>
      <c r="H770" s="18"/>
      <c r="I770" s="18"/>
      <c r="J770" s="18"/>
      <c r="K770" s="146"/>
      <c r="L770" s="145"/>
    </row>
    <row r="771" spans="1:12" s="13" customFormat="1" ht="19.5" customHeight="1">
      <c r="A771" s="143"/>
      <c r="B771" s="144"/>
      <c r="C771" s="67">
        <v>2023</v>
      </c>
      <c r="D771" s="18">
        <f aca="true" t="shared" si="91" ref="D771:D772">E771</f>
        <v>17</v>
      </c>
      <c r="E771" s="97">
        <v>17</v>
      </c>
      <c r="F771" s="97"/>
      <c r="G771" s="97"/>
      <c r="H771" s="18"/>
      <c r="I771" s="18"/>
      <c r="J771" s="18"/>
      <c r="K771" s="146"/>
      <c r="L771" s="145"/>
    </row>
    <row r="772" spans="1:12" s="13" customFormat="1" ht="19.5" customHeight="1">
      <c r="A772" s="143"/>
      <c r="B772" s="144"/>
      <c r="C772" s="67">
        <v>2024</v>
      </c>
      <c r="D772" s="18">
        <f t="shared" si="91"/>
        <v>17</v>
      </c>
      <c r="E772" s="97">
        <v>17</v>
      </c>
      <c r="F772" s="97"/>
      <c r="G772" s="97"/>
      <c r="H772" s="18"/>
      <c r="I772" s="18"/>
      <c r="J772" s="18"/>
      <c r="K772" s="146"/>
      <c r="L772" s="145"/>
    </row>
    <row r="773" spans="1:12" s="13" customFormat="1" ht="19.5" customHeight="1">
      <c r="A773" s="97" t="s">
        <v>99</v>
      </c>
      <c r="B773" s="97"/>
      <c r="C773" s="100">
        <v>2017</v>
      </c>
      <c r="D773" s="97">
        <f>H773</f>
        <v>16.3</v>
      </c>
      <c r="E773" s="97">
        <v>0</v>
      </c>
      <c r="F773" s="97">
        <f aca="true" t="shared" si="92" ref="F773:F775">H773</f>
        <v>16.3</v>
      </c>
      <c r="G773" s="97"/>
      <c r="H773" s="97">
        <f aca="true" t="shared" si="93" ref="H773:H774">H765</f>
        <v>16.3</v>
      </c>
      <c r="I773" s="18">
        <v>0</v>
      </c>
      <c r="J773" s="18">
        <v>0</v>
      </c>
      <c r="K773" s="146"/>
      <c r="L773" s="145"/>
    </row>
    <row r="774" spans="1:12" s="13" customFormat="1" ht="19.5" customHeight="1">
      <c r="A774" s="97"/>
      <c r="B774" s="97"/>
      <c r="C774" s="100">
        <v>2018</v>
      </c>
      <c r="D774" s="97">
        <f aca="true" t="shared" si="94" ref="D774:D775">E774+H774+I774</f>
        <v>16.2</v>
      </c>
      <c r="E774" s="97">
        <f>E237+E244+E659+E665+E669+E670+E683+E693+E694+E695+E709+E717+E725+E733+E741+E742+E755+E758+E766+E701</f>
        <v>0</v>
      </c>
      <c r="F774" s="97">
        <f t="shared" si="92"/>
        <v>16.2</v>
      </c>
      <c r="G774" s="97"/>
      <c r="H774" s="97">
        <f t="shared" si="93"/>
        <v>16.2</v>
      </c>
      <c r="I774" s="97">
        <v>0</v>
      </c>
      <c r="J774" s="130">
        <v>0</v>
      </c>
      <c r="K774" s="85"/>
      <c r="L774" s="145"/>
    </row>
    <row r="775" spans="1:12" s="13" customFormat="1" ht="19.5" customHeight="1">
      <c r="A775" s="97"/>
      <c r="B775" s="97"/>
      <c r="C775" s="100">
        <v>2019</v>
      </c>
      <c r="D775" s="97">
        <f t="shared" si="94"/>
        <v>16</v>
      </c>
      <c r="E775" s="97">
        <f>E238+E245+E660+E666+E684+E702+E710+E718+E726+E734+E756+E762+E767</f>
        <v>0</v>
      </c>
      <c r="F775" s="97">
        <f t="shared" si="92"/>
        <v>16</v>
      </c>
      <c r="G775" s="97"/>
      <c r="H775" s="97">
        <f>16</f>
        <v>16</v>
      </c>
      <c r="I775" s="97">
        <f aca="true" t="shared" si="95" ref="I775:I776">I767</f>
        <v>0</v>
      </c>
      <c r="J775" s="130">
        <v>0</v>
      </c>
      <c r="K775" s="85"/>
      <c r="L775" s="145"/>
    </row>
    <row r="776" spans="1:12" s="13" customFormat="1" ht="19.5" customHeight="1">
      <c r="A776" s="97"/>
      <c r="B776" s="97"/>
      <c r="C776" s="100">
        <v>2020</v>
      </c>
      <c r="D776" s="97">
        <f aca="true" t="shared" si="96" ref="D776:D780">E776</f>
        <v>16.6</v>
      </c>
      <c r="E776" s="97">
        <f>E243+E657+E664+E668+E691+E708+E716+E724+E732+E740+E757+E763+E768</f>
        <v>16.6</v>
      </c>
      <c r="F776" s="97">
        <v>0</v>
      </c>
      <c r="G776" s="97"/>
      <c r="H776" s="97">
        <v>0</v>
      </c>
      <c r="I776" s="97">
        <f t="shared" si="95"/>
        <v>0</v>
      </c>
      <c r="J776" s="130">
        <v>0</v>
      </c>
      <c r="K776" s="85"/>
      <c r="L776" s="145"/>
    </row>
    <row r="777" spans="1:12" s="13" customFormat="1" ht="19.5" customHeight="1">
      <c r="A777" s="97"/>
      <c r="B777" s="97"/>
      <c r="C777" s="100">
        <v>2021</v>
      </c>
      <c r="D777" s="97">
        <f t="shared" si="96"/>
        <v>33.2</v>
      </c>
      <c r="E777" s="97">
        <f aca="true" t="shared" si="97" ref="E777:E780">E769</f>
        <v>33.2</v>
      </c>
      <c r="F777" s="97">
        <v>0</v>
      </c>
      <c r="G777" s="97"/>
      <c r="H777" s="97">
        <v>0</v>
      </c>
      <c r="I777" s="97">
        <v>0</v>
      </c>
      <c r="J777" s="130">
        <v>0</v>
      </c>
      <c r="K777" s="85"/>
      <c r="L777" s="145"/>
    </row>
    <row r="778" spans="1:12" s="13" customFormat="1" ht="19.5" customHeight="1">
      <c r="A778" s="97"/>
      <c r="B778" s="97"/>
      <c r="C778" s="100">
        <v>2022</v>
      </c>
      <c r="D778" s="97">
        <f t="shared" si="96"/>
        <v>17</v>
      </c>
      <c r="E778" s="97">
        <f t="shared" si="97"/>
        <v>17</v>
      </c>
      <c r="F778" s="97">
        <v>0</v>
      </c>
      <c r="G778" s="97"/>
      <c r="H778" s="97">
        <v>0</v>
      </c>
      <c r="I778" s="97">
        <v>0</v>
      </c>
      <c r="J778" s="130">
        <v>0</v>
      </c>
      <c r="K778" s="85"/>
      <c r="L778" s="145"/>
    </row>
    <row r="779" spans="1:12" s="13" customFormat="1" ht="19.5" customHeight="1">
      <c r="A779" s="97"/>
      <c r="B779" s="97"/>
      <c r="C779" s="100">
        <v>2023</v>
      </c>
      <c r="D779" s="97">
        <f t="shared" si="96"/>
        <v>17</v>
      </c>
      <c r="E779" s="97">
        <f t="shared" si="97"/>
        <v>17</v>
      </c>
      <c r="F779" s="97">
        <v>0</v>
      </c>
      <c r="G779" s="97"/>
      <c r="H779" s="97">
        <v>0</v>
      </c>
      <c r="I779" s="97">
        <v>0</v>
      </c>
      <c r="J779" s="130">
        <v>0</v>
      </c>
      <c r="K779" s="85"/>
      <c r="L779" s="147"/>
    </row>
    <row r="780" spans="1:12" s="13" customFormat="1" ht="19.5" customHeight="1">
      <c r="A780" s="148"/>
      <c r="B780" s="149"/>
      <c r="C780" s="100">
        <v>2024</v>
      </c>
      <c r="D780" s="97">
        <f t="shared" si="96"/>
        <v>17</v>
      </c>
      <c r="E780" s="97">
        <f t="shared" si="97"/>
        <v>17</v>
      </c>
      <c r="F780" s="97">
        <v>0</v>
      </c>
      <c r="G780" s="97"/>
      <c r="H780" s="97">
        <v>0</v>
      </c>
      <c r="I780" s="97">
        <v>0</v>
      </c>
      <c r="J780" s="130">
        <v>0</v>
      </c>
      <c r="K780" s="85"/>
      <c r="L780" s="147"/>
    </row>
    <row r="781" spans="1:12" s="13" customFormat="1" ht="19.5" customHeight="1">
      <c r="A781" s="97" t="s">
        <v>285</v>
      </c>
      <c r="B781" s="97"/>
      <c r="C781" s="100">
        <v>2017</v>
      </c>
      <c r="D781" s="97">
        <f>I781+H781</f>
        <v>83485.04676000001</v>
      </c>
      <c r="E781" s="97">
        <v>0</v>
      </c>
      <c r="F781" s="97">
        <f>H781+G781</f>
        <v>9038.8</v>
      </c>
      <c r="G781" s="97"/>
      <c r="H781" s="97">
        <f>H754+H773</f>
        <v>9038.8</v>
      </c>
      <c r="I781" s="97">
        <f>I773+I754+I682+I165+I656</f>
        <v>74446.24676000001</v>
      </c>
      <c r="J781" s="130">
        <v>0</v>
      </c>
      <c r="K781" s="85"/>
      <c r="L781" s="98"/>
    </row>
    <row r="782" spans="1:12" s="13" customFormat="1" ht="19.5" customHeight="1">
      <c r="A782" s="97"/>
      <c r="B782" s="97"/>
      <c r="C782" s="100">
        <v>2018</v>
      </c>
      <c r="D782" s="97">
        <f>E782+H782+I782+J782</f>
        <v>81020.64127</v>
      </c>
      <c r="E782" s="97">
        <f>SUM(E18+E26+E35+E43+E53+E67+E81+E89+E97+E105+E112+E123+E215+E222+E229+E243+E668+E693+E701+E708+E716+E724+E732+E740+E766)</f>
        <v>0</v>
      </c>
      <c r="F782" s="97">
        <f aca="true" t="shared" si="98" ref="F782:F783">G782+H782</f>
        <v>10207.418000000001</v>
      </c>
      <c r="G782" s="97"/>
      <c r="H782" s="97">
        <f>SUM(H18+H26+H35+H43+H53+H67+H81+H89+H97+H105+H112+H123+H215+H222+H229+H243+H668+H693+H701+H708+H716+H724+H732+H740+H766)</f>
        <v>10207.418000000001</v>
      </c>
      <c r="I782" s="97">
        <f aca="true" t="shared" si="99" ref="I782:I784">I755+I683+I657+I166</f>
        <v>64874.184519999995</v>
      </c>
      <c r="J782" s="97">
        <f aca="true" t="shared" si="100" ref="J782:J784">J755</f>
        <v>5939.03875</v>
      </c>
      <c r="K782" s="146"/>
      <c r="L782" s="98"/>
    </row>
    <row r="783" spans="1:12" s="13" customFormat="1" ht="19.5" customHeight="1">
      <c r="A783" s="97"/>
      <c r="B783" s="97"/>
      <c r="C783" s="100">
        <v>2019</v>
      </c>
      <c r="D783" s="97">
        <f>H783+I783+J783</f>
        <v>89416.72404000002</v>
      </c>
      <c r="E783" s="97">
        <f>SUM(E19+E27+E36+E44+E54+E70+E82+E90+E98+E106+E115+E124+E217+E223+E230+E244+E669+E694+E702+E709+E717+E725+E733+E741+E767)</f>
        <v>0</v>
      </c>
      <c r="F783" s="97">
        <f t="shared" si="98"/>
        <v>10602.964000000002</v>
      </c>
      <c r="G783" s="97"/>
      <c r="H783" s="97">
        <f>H756+H775+H658</f>
        <v>10602.964000000002</v>
      </c>
      <c r="I783" s="97">
        <f t="shared" si="99"/>
        <v>68870.48911000001</v>
      </c>
      <c r="J783" s="97">
        <f t="shared" si="100"/>
        <v>9943.270929999999</v>
      </c>
      <c r="K783" s="146"/>
      <c r="L783" s="79"/>
    </row>
    <row r="784" spans="1:12" s="13" customFormat="1" ht="19.5" customHeight="1">
      <c r="A784" s="97"/>
      <c r="B784" s="97"/>
      <c r="C784" s="100">
        <v>2020</v>
      </c>
      <c r="D784" s="97">
        <f>E784+H784+I784+J784</f>
        <v>86650.26683</v>
      </c>
      <c r="E784" s="97">
        <f>SUM(E20+E28+E37+E45+E56+E73+E83+E91+E99+E107+E117+E134+E224+E231+E245+E670+E695+E703+E710+E718+E726+E734+E742+E768)</f>
        <v>16.6</v>
      </c>
      <c r="F784" s="97">
        <f aca="true" t="shared" si="101" ref="F784:F786">H784+G784</f>
        <v>11163.9</v>
      </c>
      <c r="G784" s="97"/>
      <c r="H784" s="97">
        <f>H757+H776</f>
        <v>11163.9</v>
      </c>
      <c r="I784" s="97">
        <f t="shared" si="99"/>
        <v>69588.11158</v>
      </c>
      <c r="J784" s="97">
        <f t="shared" si="100"/>
        <v>5881.65525</v>
      </c>
      <c r="K784" s="146"/>
      <c r="L784" s="79"/>
    </row>
    <row r="785" spans="1:12" s="13" customFormat="1" ht="19.5" customHeight="1">
      <c r="A785" s="97"/>
      <c r="B785" s="97"/>
      <c r="C785" s="100">
        <v>2021</v>
      </c>
      <c r="D785" s="97">
        <f aca="true" t="shared" si="102" ref="D785:D788">E785+F785+I785+J785</f>
        <v>67623.12641</v>
      </c>
      <c r="E785" s="97">
        <f>E777</f>
        <v>33.2</v>
      </c>
      <c r="F785" s="97">
        <f t="shared" si="101"/>
        <v>12541.4</v>
      </c>
      <c r="G785" s="97">
        <f aca="true" t="shared" si="103" ref="G785:G786">G169</f>
        <v>61.8</v>
      </c>
      <c r="H785" s="97">
        <f>H777+H758+H161</f>
        <v>12479.6</v>
      </c>
      <c r="I785" s="97">
        <f>I777+I758+I686+I660+I169</f>
        <v>47718.52641</v>
      </c>
      <c r="J785" s="97">
        <f>J777+J758</f>
        <v>7330</v>
      </c>
      <c r="K785" s="146"/>
      <c r="L785" s="79"/>
    </row>
    <row r="786" spans="1:12" s="13" customFormat="1" ht="19.5" customHeight="1">
      <c r="A786" s="97"/>
      <c r="B786" s="97"/>
      <c r="C786" s="100">
        <v>2022</v>
      </c>
      <c r="D786" s="97">
        <f t="shared" si="102"/>
        <v>75558.98</v>
      </c>
      <c r="E786" s="97">
        <v>17</v>
      </c>
      <c r="F786" s="97">
        <f t="shared" si="101"/>
        <v>12137.3</v>
      </c>
      <c r="G786" s="97">
        <f t="shared" si="103"/>
        <v>62.5</v>
      </c>
      <c r="H786" s="97">
        <f>H759+H170</f>
        <v>12074.8</v>
      </c>
      <c r="I786" s="97">
        <f aca="true" t="shared" si="104" ref="I786:I788">I759+I687+I661+I170</f>
        <v>56124.68</v>
      </c>
      <c r="J786" s="97">
        <f>J759</f>
        <v>7280</v>
      </c>
      <c r="K786" s="146"/>
      <c r="L786" s="79"/>
    </row>
    <row r="787" spans="1:12" s="13" customFormat="1" ht="19.5" customHeight="1">
      <c r="A787" s="97"/>
      <c r="B787" s="97"/>
      <c r="C787" s="100">
        <v>2023</v>
      </c>
      <c r="D787" s="97">
        <f t="shared" si="102"/>
        <v>68251.078</v>
      </c>
      <c r="E787" s="97">
        <f>17</f>
        <v>17</v>
      </c>
      <c r="F787" s="97">
        <f>G787+H787</f>
        <v>16819.7</v>
      </c>
      <c r="G787" s="97">
        <f>G662+F172</f>
        <v>4370.3</v>
      </c>
      <c r="H787" s="97">
        <f>H760+H662+H171</f>
        <v>12449.4</v>
      </c>
      <c r="I787" s="97">
        <f t="shared" si="104"/>
        <v>44134.378</v>
      </c>
      <c r="J787" s="97">
        <f>J698+J706+J713+J721+J729+J737+J745</f>
        <v>7280</v>
      </c>
      <c r="K787" s="146"/>
      <c r="L787" s="79"/>
    </row>
    <row r="788" spans="1:12" s="13" customFormat="1" ht="19.5" customHeight="1">
      <c r="A788" s="97"/>
      <c r="B788" s="97"/>
      <c r="C788" s="100">
        <v>2024</v>
      </c>
      <c r="D788" s="97">
        <f t="shared" si="102"/>
        <v>63655.94799999999</v>
      </c>
      <c r="E788" s="97">
        <f>E780</f>
        <v>17</v>
      </c>
      <c r="F788" s="97">
        <f>H788+G788</f>
        <v>12137.3</v>
      </c>
      <c r="G788" s="97">
        <f>G172</f>
        <v>62.5</v>
      </c>
      <c r="H788" s="97">
        <f>H761+H172</f>
        <v>12074.8</v>
      </c>
      <c r="I788" s="97">
        <f t="shared" si="104"/>
        <v>44221.647999999994</v>
      </c>
      <c r="J788" s="97">
        <f>J761</f>
        <v>7280</v>
      </c>
      <c r="K788" s="146"/>
      <c r="L788" s="79"/>
    </row>
    <row r="789" spans="1:12" s="13" customFormat="1" ht="19.5" customHeight="1">
      <c r="A789" s="97"/>
      <c r="B789" s="97"/>
      <c r="C789" s="100" t="s">
        <v>286</v>
      </c>
      <c r="D789" s="97">
        <f>SUM(D781:D788)</f>
        <v>615661.81131</v>
      </c>
      <c r="E789" s="97">
        <f>SUM(E781:E788)</f>
        <v>100.80000000000001</v>
      </c>
      <c r="F789" s="97">
        <f>SUM(F781:F788)</f>
        <v>94648.782</v>
      </c>
      <c r="G789" s="97">
        <f>SUM(G781:G788)</f>
        <v>4557.1</v>
      </c>
      <c r="H789" s="97">
        <f>SUM(H781:H788)</f>
        <v>90091.682</v>
      </c>
      <c r="I789" s="97">
        <f>SUM(I781:I788)</f>
        <v>469978.26438</v>
      </c>
      <c r="J789" s="97">
        <f>SUM(J781:J788)</f>
        <v>50933.964929999995</v>
      </c>
      <c r="K789" s="146"/>
      <c r="L789" s="79"/>
    </row>
    <row r="790" spans="1:8" s="13" customFormat="1" ht="19.5" customHeight="1">
      <c r="A790" s="150"/>
      <c r="B790" s="150"/>
      <c r="C790" s="151"/>
      <c r="D790" s="55"/>
      <c r="G790" s="13" t="s">
        <v>70</v>
      </c>
      <c r="H790" s="56"/>
    </row>
    <row r="791" spans="4:8" s="13" customFormat="1" ht="19.5" customHeight="1">
      <c r="D791" s="152"/>
      <c r="E791" s="152"/>
      <c r="F791" s="152"/>
      <c r="H791" s="56"/>
    </row>
    <row r="792" spans="4:8" s="13" customFormat="1" ht="19.5" customHeight="1">
      <c r="D792" s="152"/>
      <c r="H792" s="56"/>
    </row>
    <row r="793" spans="4:8" s="13" customFormat="1" ht="19.5" customHeight="1">
      <c r="D793" s="152"/>
      <c r="H793" s="56"/>
    </row>
    <row r="794" spans="4:8" s="13" customFormat="1" ht="19.5" customHeight="1">
      <c r="D794" s="152"/>
      <c r="H794" s="56"/>
    </row>
    <row r="795" spans="4:8" s="13" customFormat="1" ht="19.5" customHeight="1">
      <c r="D795" s="55"/>
      <c r="H795" s="56"/>
    </row>
    <row r="796" spans="4:8" s="13" customFormat="1" ht="14.25">
      <c r="D796" s="55"/>
      <c r="H796" s="56"/>
    </row>
    <row r="797" spans="4:8" s="13" customFormat="1" ht="14.25">
      <c r="D797" s="55"/>
      <c r="H797" s="56"/>
    </row>
    <row r="798" spans="4:8" s="13" customFormat="1" ht="14.25">
      <c r="D798" s="55"/>
      <c r="H798" s="56"/>
    </row>
    <row r="799" spans="4:8" s="13" customFormat="1" ht="14.25">
      <c r="D799" s="55"/>
      <c r="H799" s="56"/>
    </row>
    <row r="800" spans="4:8" s="13" customFormat="1" ht="14.25">
      <c r="D800" s="55"/>
      <c r="H800" s="56"/>
    </row>
    <row r="801" spans="4:8" s="13" customFormat="1" ht="14.25">
      <c r="D801" s="55"/>
      <c r="H801" s="56"/>
    </row>
    <row r="802" spans="4:8" s="13" customFormat="1" ht="14.25">
      <c r="D802" s="55"/>
      <c r="H802" s="56"/>
    </row>
    <row r="803" spans="4:8" s="13" customFormat="1" ht="14.25">
      <c r="D803" s="55"/>
      <c r="H803" s="56"/>
    </row>
    <row r="804" spans="4:8" s="13" customFormat="1" ht="14.25">
      <c r="D804" s="55"/>
      <c r="H804" s="56"/>
    </row>
    <row r="805" spans="4:8" s="13" customFormat="1" ht="14.25">
      <c r="D805" s="55"/>
      <c r="H805" s="56"/>
    </row>
    <row r="806" spans="4:8" s="13" customFormat="1" ht="14.25">
      <c r="D806" s="55"/>
      <c r="H806" s="56"/>
    </row>
    <row r="807" spans="4:8" s="13" customFormat="1" ht="14.25">
      <c r="D807" s="55"/>
      <c r="H807" s="56"/>
    </row>
    <row r="808" spans="4:8" s="13" customFormat="1" ht="14.25">
      <c r="D808" s="55"/>
      <c r="H808" s="56"/>
    </row>
    <row r="809" spans="4:8" s="13" customFormat="1" ht="14.25">
      <c r="D809" s="55"/>
      <c r="H809" s="56"/>
    </row>
    <row r="810" spans="4:8" s="13" customFormat="1" ht="14.25">
      <c r="D810" s="55"/>
      <c r="H810" s="56"/>
    </row>
    <row r="811" spans="4:8" s="13" customFormat="1" ht="14.25">
      <c r="D811" s="55"/>
      <c r="H811" s="56"/>
    </row>
    <row r="812" spans="4:8" s="13" customFormat="1" ht="14.25">
      <c r="D812" s="55"/>
      <c r="H812" s="56"/>
    </row>
    <row r="813" spans="4:8" s="13" customFormat="1" ht="14.25">
      <c r="D813" s="55"/>
      <c r="H813" s="56"/>
    </row>
    <row r="814" spans="4:8" s="13" customFormat="1" ht="14.25">
      <c r="D814" s="55"/>
      <c r="H814" s="56"/>
    </row>
    <row r="815" spans="4:8" s="13" customFormat="1" ht="14.25">
      <c r="D815" s="55"/>
      <c r="H815" s="56"/>
    </row>
    <row r="816" spans="4:8" s="13" customFormat="1" ht="14.25">
      <c r="D816" s="55"/>
      <c r="H816" s="56"/>
    </row>
    <row r="817" spans="4:8" s="13" customFormat="1" ht="14.25">
      <c r="D817" s="55"/>
      <c r="H817" s="56"/>
    </row>
    <row r="818" spans="4:8" s="13" customFormat="1" ht="14.25">
      <c r="D818" s="55"/>
      <c r="H818" s="56"/>
    </row>
    <row r="819" spans="4:8" s="13" customFormat="1" ht="14.25">
      <c r="D819" s="55"/>
      <c r="H819" s="56"/>
    </row>
    <row r="820" spans="4:8" s="13" customFormat="1" ht="14.25">
      <c r="D820" s="55"/>
      <c r="H820" s="56"/>
    </row>
    <row r="821" spans="4:8" s="13" customFormat="1" ht="14.25">
      <c r="D821" s="55"/>
      <c r="H821" s="56"/>
    </row>
    <row r="822" spans="4:8" s="13" customFormat="1" ht="14.25">
      <c r="D822" s="55"/>
      <c r="H822" s="56"/>
    </row>
    <row r="823" spans="4:8" s="13" customFormat="1" ht="14.25">
      <c r="D823" s="55"/>
      <c r="H823" s="56"/>
    </row>
    <row r="824" spans="4:8" s="13" customFormat="1" ht="14.25">
      <c r="D824" s="55"/>
      <c r="H824" s="56"/>
    </row>
    <row r="825" spans="4:8" s="13" customFormat="1" ht="14.25">
      <c r="D825" s="55"/>
      <c r="H825" s="56"/>
    </row>
    <row r="826" spans="4:8" s="13" customFormat="1" ht="14.25">
      <c r="D826" s="55"/>
      <c r="H826" s="56"/>
    </row>
    <row r="827" spans="4:8" s="13" customFormat="1" ht="14.25">
      <c r="D827" s="55"/>
      <c r="H827" s="56"/>
    </row>
    <row r="828" spans="4:8" s="13" customFormat="1" ht="14.25">
      <c r="D828" s="55"/>
      <c r="H828" s="56"/>
    </row>
    <row r="829" spans="4:8" s="13" customFormat="1" ht="14.25">
      <c r="D829" s="55"/>
      <c r="H829" s="56"/>
    </row>
    <row r="830" spans="4:8" s="13" customFormat="1" ht="14.25">
      <c r="D830" s="55"/>
      <c r="H830" s="56"/>
    </row>
    <row r="831" spans="4:8" s="13" customFormat="1" ht="14.25">
      <c r="D831" s="55"/>
      <c r="H831" s="56"/>
    </row>
    <row r="832" spans="4:8" s="13" customFormat="1" ht="14.25">
      <c r="D832" s="55"/>
      <c r="H832" s="56"/>
    </row>
    <row r="833" spans="4:8" s="13" customFormat="1" ht="14.25">
      <c r="D833" s="55"/>
      <c r="H833" s="56"/>
    </row>
    <row r="834" spans="4:8" s="13" customFormat="1" ht="14.25">
      <c r="D834" s="55"/>
      <c r="H834" s="56"/>
    </row>
    <row r="835" spans="4:8" s="13" customFormat="1" ht="14.25">
      <c r="D835" s="55"/>
      <c r="H835" s="56"/>
    </row>
    <row r="836" spans="4:8" s="13" customFormat="1" ht="14.25">
      <c r="D836" s="55"/>
      <c r="H836" s="56"/>
    </row>
    <row r="837" spans="4:8" s="13" customFormat="1" ht="14.25">
      <c r="D837" s="55"/>
      <c r="H837" s="56"/>
    </row>
    <row r="838" spans="4:8" s="13" customFormat="1" ht="14.25">
      <c r="D838" s="55"/>
      <c r="H838" s="56"/>
    </row>
    <row r="839" spans="4:8" s="13" customFormat="1" ht="14.25">
      <c r="D839" s="55"/>
      <c r="H839" s="56"/>
    </row>
    <row r="840" spans="4:8" s="13" customFormat="1" ht="14.25">
      <c r="D840" s="55"/>
      <c r="H840" s="56"/>
    </row>
    <row r="841" spans="4:8" s="13" customFormat="1" ht="14.25">
      <c r="D841" s="55"/>
      <c r="H841" s="56"/>
    </row>
    <row r="842" spans="4:8" s="13" customFormat="1" ht="14.25">
      <c r="D842" s="55"/>
      <c r="H842" s="56"/>
    </row>
    <row r="843" spans="4:8" s="13" customFormat="1" ht="14.25">
      <c r="D843" s="55"/>
      <c r="H843" s="56"/>
    </row>
    <row r="844" spans="4:8" s="13" customFormat="1" ht="14.25">
      <c r="D844" s="55"/>
      <c r="H844" s="56"/>
    </row>
    <row r="845" spans="4:8" s="13" customFormat="1" ht="14.25">
      <c r="D845" s="55"/>
      <c r="H845" s="56"/>
    </row>
    <row r="846" spans="4:8" s="13" customFormat="1" ht="14.25">
      <c r="D846" s="55"/>
      <c r="H846" s="56"/>
    </row>
    <row r="847" spans="4:8" s="13" customFormat="1" ht="14.25">
      <c r="D847" s="55"/>
      <c r="H847" s="56"/>
    </row>
    <row r="848" spans="4:8" s="13" customFormat="1" ht="14.25">
      <c r="D848" s="55"/>
      <c r="H848" s="56"/>
    </row>
    <row r="849" spans="4:8" s="13" customFormat="1" ht="14.25">
      <c r="D849" s="55"/>
      <c r="H849" s="56"/>
    </row>
    <row r="850" spans="4:8" s="13" customFormat="1" ht="14.25">
      <c r="D850" s="55"/>
      <c r="H850" s="56"/>
    </row>
    <row r="851" spans="4:8" s="13" customFormat="1" ht="14.25">
      <c r="D851" s="55"/>
      <c r="H851" s="56"/>
    </row>
    <row r="852" spans="4:8" s="13" customFormat="1" ht="14.25">
      <c r="D852" s="55"/>
      <c r="H852" s="56"/>
    </row>
    <row r="853" spans="4:8" s="13" customFormat="1" ht="14.25">
      <c r="D853" s="55"/>
      <c r="H853" s="56"/>
    </row>
    <row r="854" spans="4:8" s="13" customFormat="1" ht="14.25">
      <c r="D854" s="55"/>
      <c r="H854" s="56"/>
    </row>
    <row r="855" spans="4:8" s="13" customFormat="1" ht="14.25">
      <c r="D855" s="55"/>
      <c r="H855" s="56"/>
    </row>
    <row r="856" spans="4:8" s="13" customFormat="1" ht="14.25">
      <c r="D856" s="55"/>
      <c r="H856" s="56"/>
    </row>
    <row r="857" spans="4:8" s="13" customFormat="1" ht="14.25">
      <c r="D857" s="55"/>
      <c r="H857" s="56"/>
    </row>
    <row r="858" spans="4:8" s="13" customFormat="1" ht="14.25">
      <c r="D858" s="55"/>
      <c r="H858" s="56"/>
    </row>
    <row r="859" spans="4:8" s="13" customFormat="1" ht="14.25">
      <c r="D859" s="55"/>
      <c r="H859" s="56"/>
    </row>
    <row r="860" spans="4:8" s="13" customFormat="1" ht="14.25">
      <c r="D860" s="55"/>
      <c r="H860" s="56"/>
    </row>
    <row r="861" spans="4:8" s="13" customFormat="1" ht="14.25">
      <c r="D861" s="55"/>
      <c r="H861" s="56"/>
    </row>
    <row r="862" spans="4:8" s="13" customFormat="1" ht="14.25">
      <c r="D862" s="55"/>
      <c r="H862" s="56"/>
    </row>
    <row r="863" spans="4:8" s="13" customFormat="1" ht="14.25">
      <c r="D863" s="55"/>
      <c r="H863" s="56"/>
    </row>
    <row r="864" spans="4:8" s="13" customFormat="1" ht="14.25">
      <c r="D864" s="55"/>
      <c r="H864" s="56"/>
    </row>
    <row r="865" spans="4:8" s="13" customFormat="1" ht="14.25">
      <c r="D865" s="55"/>
      <c r="H865" s="56"/>
    </row>
    <row r="866" spans="4:8" s="13" customFormat="1" ht="14.25">
      <c r="D866" s="55"/>
      <c r="H866" s="56"/>
    </row>
    <row r="867" spans="4:8" s="13" customFormat="1" ht="14.25">
      <c r="D867" s="55"/>
      <c r="H867" s="56"/>
    </row>
    <row r="868" spans="4:8" s="13" customFormat="1" ht="14.25">
      <c r="D868" s="55"/>
      <c r="H868" s="56"/>
    </row>
    <row r="869" spans="4:8" s="13" customFormat="1" ht="14.25">
      <c r="D869" s="55"/>
      <c r="H869" s="56"/>
    </row>
    <row r="870" spans="4:8" s="13" customFormat="1" ht="14.25">
      <c r="D870" s="55"/>
      <c r="H870" s="56"/>
    </row>
    <row r="871" spans="4:8" s="13" customFormat="1" ht="14.25">
      <c r="D871" s="55"/>
      <c r="H871" s="56"/>
    </row>
    <row r="872" spans="4:8" s="13" customFormat="1" ht="14.25">
      <c r="D872" s="55"/>
      <c r="H872" s="56"/>
    </row>
    <row r="873" spans="4:8" s="13" customFormat="1" ht="14.25">
      <c r="D873" s="55"/>
      <c r="H873" s="56"/>
    </row>
    <row r="874" spans="4:8" s="13" customFormat="1" ht="14.25">
      <c r="D874" s="55"/>
      <c r="H874" s="56"/>
    </row>
    <row r="875" spans="4:8" s="13" customFormat="1" ht="14.25">
      <c r="D875" s="55"/>
      <c r="H875" s="56"/>
    </row>
    <row r="876" spans="4:8" s="13" customFormat="1" ht="14.25">
      <c r="D876" s="55"/>
      <c r="H876" s="56"/>
    </row>
    <row r="877" spans="4:8" s="13" customFormat="1" ht="14.25">
      <c r="D877" s="55"/>
      <c r="H877" s="56"/>
    </row>
    <row r="878" spans="4:8" s="13" customFormat="1" ht="14.25">
      <c r="D878" s="55"/>
      <c r="H878" s="56"/>
    </row>
    <row r="879" spans="4:8" s="13" customFormat="1" ht="14.25">
      <c r="D879" s="55"/>
      <c r="H879" s="56"/>
    </row>
    <row r="880" spans="4:8" s="13" customFormat="1" ht="14.25">
      <c r="D880" s="55"/>
      <c r="H880" s="56"/>
    </row>
    <row r="881" spans="4:8" s="13" customFormat="1" ht="14.25">
      <c r="D881" s="55"/>
      <c r="H881" s="56"/>
    </row>
    <row r="882" spans="4:8" s="13" customFormat="1" ht="14.25">
      <c r="D882" s="55"/>
      <c r="H882" s="56"/>
    </row>
    <row r="883" spans="4:8" s="13" customFormat="1" ht="14.25">
      <c r="D883" s="55"/>
      <c r="H883" s="56"/>
    </row>
    <row r="884" spans="4:8" s="13" customFormat="1" ht="14.25">
      <c r="D884" s="55"/>
      <c r="H884" s="56"/>
    </row>
    <row r="885" spans="4:8" s="13" customFormat="1" ht="14.25">
      <c r="D885" s="55"/>
      <c r="H885" s="56"/>
    </row>
    <row r="886" spans="4:8" s="13" customFormat="1" ht="14.25">
      <c r="D886" s="55"/>
      <c r="H886" s="56"/>
    </row>
    <row r="887" spans="4:8" s="13" customFormat="1" ht="14.25">
      <c r="D887" s="55"/>
      <c r="H887" s="56"/>
    </row>
    <row r="888" spans="4:8" s="13" customFormat="1" ht="14.25">
      <c r="D888" s="55"/>
      <c r="H888" s="56"/>
    </row>
    <row r="889" spans="4:8" s="13" customFormat="1" ht="14.25">
      <c r="D889" s="55"/>
      <c r="H889" s="56"/>
    </row>
    <row r="890" spans="4:8" s="13" customFormat="1" ht="14.25">
      <c r="D890" s="55"/>
      <c r="H890" s="56"/>
    </row>
    <row r="891" spans="4:8" s="13" customFormat="1" ht="14.25">
      <c r="D891" s="55"/>
      <c r="H891" s="56"/>
    </row>
    <row r="892" spans="4:8" s="13" customFormat="1" ht="14.25">
      <c r="D892" s="55"/>
      <c r="H892" s="56"/>
    </row>
    <row r="893" spans="4:8" s="13" customFormat="1" ht="14.25">
      <c r="D893" s="55"/>
      <c r="H893" s="56"/>
    </row>
    <row r="894" spans="4:8" s="13" customFormat="1" ht="14.25">
      <c r="D894" s="55"/>
      <c r="H894" s="56"/>
    </row>
    <row r="895" spans="4:8" s="13" customFormat="1" ht="14.25">
      <c r="D895" s="55"/>
      <c r="H895" s="56"/>
    </row>
    <row r="896" spans="4:8" s="13" customFormat="1" ht="14.25">
      <c r="D896" s="55"/>
      <c r="H896" s="56"/>
    </row>
    <row r="897" spans="4:8" s="13" customFormat="1" ht="14.25">
      <c r="D897" s="55"/>
      <c r="H897" s="56"/>
    </row>
    <row r="898" spans="4:8" s="13" customFormat="1" ht="14.25">
      <c r="D898" s="55"/>
      <c r="H898" s="56"/>
    </row>
    <row r="899" spans="4:8" s="13" customFormat="1" ht="14.25">
      <c r="D899" s="55"/>
      <c r="H899" s="56"/>
    </row>
    <row r="900" spans="4:8" s="13" customFormat="1" ht="14.25">
      <c r="D900" s="55"/>
      <c r="H900" s="56"/>
    </row>
    <row r="901" spans="4:8" s="13" customFormat="1" ht="14.25">
      <c r="D901" s="55"/>
      <c r="H901" s="56"/>
    </row>
    <row r="902" spans="4:8" s="13" customFormat="1" ht="14.25">
      <c r="D902" s="55"/>
      <c r="H902" s="56"/>
    </row>
    <row r="903" spans="4:8" s="13" customFormat="1" ht="14.25">
      <c r="D903" s="55"/>
      <c r="H903" s="56"/>
    </row>
    <row r="904" spans="4:8" s="13" customFormat="1" ht="14.25">
      <c r="D904" s="55"/>
      <c r="H904" s="56"/>
    </row>
    <row r="905" spans="4:8" s="13" customFormat="1" ht="14.25">
      <c r="D905" s="55"/>
      <c r="H905" s="56"/>
    </row>
    <row r="906" spans="4:8" s="13" customFormat="1" ht="14.25">
      <c r="D906" s="55"/>
      <c r="H906" s="56"/>
    </row>
    <row r="907" spans="4:8" s="13" customFormat="1" ht="14.25">
      <c r="D907" s="55"/>
      <c r="H907" s="56"/>
    </row>
    <row r="908" spans="4:8" s="13" customFormat="1" ht="14.25">
      <c r="D908" s="55"/>
      <c r="H908" s="56"/>
    </row>
    <row r="909" spans="4:8" s="13" customFormat="1" ht="14.25">
      <c r="D909" s="55"/>
      <c r="H909" s="56"/>
    </row>
    <row r="910" spans="4:8" s="13" customFormat="1" ht="14.25">
      <c r="D910" s="55"/>
      <c r="H910" s="56"/>
    </row>
    <row r="911" spans="4:8" s="13" customFormat="1" ht="14.25">
      <c r="D911" s="55"/>
      <c r="H911" s="56"/>
    </row>
    <row r="912" spans="4:8" s="13" customFormat="1" ht="14.25">
      <c r="D912" s="55"/>
      <c r="H912" s="56"/>
    </row>
    <row r="913" spans="4:8" s="13" customFormat="1" ht="14.25">
      <c r="D913" s="55"/>
      <c r="H913" s="56"/>
    </row>
    <row r="914" spans="4:8" s="13" customFormat="1" ht="14.25">
      <c r="D914" s="55"/>
      <c r="H914" s="56"/>
    </row>
    <row r="915" spans="1:12" ht="14.25">
      <c r="A915" s="13"/>
      <c r="B915" s="13"/>
      <c r="C915" s="13"/>
      <c r="D915" s="55"/>
      <c r="E915" s="13"/>
      <c r="F915" s="13"/>
      <c r="G915" s="13"/>
      <c r="H915" s="56"/>
      <c r="I915" s="13"/>
      <c r="J915" s="13"/>
      <c r="K915" s="13"/>
      <c r="L915" s="13"/>
    </row>
    <row r="916" spans="1:12" ht="14.25">
      <c r="A916" s="13"/>
      <c r="B916" s="13"/>
      <c r="C916" s="13"/>
      <c r="D916" s="55"/>
      <c r="E916" s="13"/>
      <c r="F916" s="13"/>
      <c r="G916" s="13"/>
      <c r="H916" s="56"/>
      <c r="I916" s="13"/>
      <c r="J916" s="13"/>
      <c r="K916" s="13"/>
      <c r="L916" s="13"/>
    </row>
    <row r="917" spans="1:12" ht="14.25">
      <c r="A917" s="13"/>
      <c r="B917" s="13"/>
      <c r="C917" s="13"/>
      <c r="D917" s="55"/>
      <c r="E917" s="13"/>
      <c r="F917" s="13"/>
      <c r="G917" s="13"/>
      <c r="H917" s="56"/>
      <c r="I917" s="13"/>
      <c r="J917" s="13"/>
      <c r="K917" s="13"/>
      <c r="L917" s="13"/>
    </row>
    <row r="918" spans="1:12" ht="14.25">
      <c r="A918" s="13"/>
      <c r="B918" s="13"/>
      <c r="C918" s="13"/>
      <c r="D918" s="55"/>
      <c r="E918" s="13"/>
      <c r="F918" s="13"/>
      <c r="G918" s="13"/>
      <c r="H918" s="56"/>
      <c r="I918" s="13"/>
      <c r="J918" s="13"/>
      <c r="K918" s="13"/>
      <c r="L918" s="13"/>
    </row>
    <row r="919" spans="1:12" ht="14.25">
      <c r="A919" s="13"/>
      <c r="B919" s="13"/>
      <c r="C919" s="13"/>
      <c r="D919" s="55"/>
      <c r="E919" s="13"/>
      <c r="F919" s="13"/>
      <c r="G919" s="13"/>
      <c r="H919" s="56"/>
      <c r="I919" s="13"/>
      <c r="J919" s="13"/>
      <c r="K919" s="13"/>
      <c r="L919" s="13"/>
    </row>
    <row r="920" spans="1:12" ht="14.25">
      <c r="A920" s="13"/>
      <c r="B920" s="13"/>
      <c r="C920" s="13"/>
      <c r="D920" s="55"/>
      <c r="E920" s="13"/>
      <c r="F920" s="13"/>
      <c r="G920" s="13"/>
      <c r="H920" s="56"/>
      <c r="I920" s="13"/>
      <c r="J920" s="13"/>
      <c r="K920" s="13"/>
      <c r="L920" s="13"/>
    </row>
    <row r="921" spans="1:12" ht="14.25">
      <c r="A921" s="13"/>
      <c r="B921" s="13"/>
      <c r="C921" s="13"/>
      <c r="D921" s="55"/>
      <c r="E921" s="13"/>
      <c r="F921" s="13"/>
      <c r="G921" s="13"/>
      <c r="H921" s="56"/>
      <c r="I921" s="13"/>
      <c r="J921" s="13"/>
      <c r="K921" s="13"/>
      <c r="L921" s="13"/>
    </row>
    <row r="922" spans="1:12" ht="14.25">
      <c r="A922" s="13"/>
      <c r="B922" s="13"/>
      <c r="C922" s="13"/>
      <c r="D922" s="55"/>
      <c r="E922" s="13"/>
      <c r="F922" s="13"/>
      <c r="G922" s="13"/>
      <c r="H922" s="56"/>
      <c r="I922" s="13"/>
      <c r="J922" s="13"/>
      <c r="K922" s="13"/>
      <c r="L922" s="13"/>
    </row>
    <row r="923" spans="1:12" ht="14.25">
      <c r="A923" s="13"/>
      <c r="B923" s="13"/>
      <c r="C923" s="13"/>
      <c r="D923" s="55"/>
      <c r="E923" s="13"/>
      <c r="F923" s="13"/>
      <c r="G923" s="13"/>
      <c r="H923" s="56"/>
      <c r="I923" s="13"/>
      <c r="J923" s="13"/>
      <c r="K923" s="13"/>
      <c r="L923" s="13"/>
    </row>
    <row r="924" spans="1:12" ht="14.25">
      <c r="A924" s="13"/>
      <c r="B924" s="13"/>
      <c r="C924" s="13"/>
      <c r="D924" s="55"/>
      <c r="E924" s="13"/>
      <c r="F924" s="13"/>
      <c r="G924" s="13"/>
      <c r="H924" s="56"/>
      <c r="I924" s="13"/>
      <c r="J924" s="13"/>
      <c r="K924" s="13"/>
      <c r="L924" s="13"/>
    </row>
  </sheetData>
  <sheetProtection selectLockedCells="1" selectUnlockedCells="1"/>
  <mergeCells count="297">
    <mergeCell ref="K2:L2"/>
    <mergeCell ref="K3:L3"/>
    <mergeCell ref="K4:L4"/>
    <mergeCell ref="A7:L7"/>
    <mergeCell ref="A8:A12"/>
    <mergeCell ref="B8:B12"/>
    <mergeCell ref="C8:C12"/>
    <mergeCell ref="D8:D12"/>
    <mergeCell ref="E8:I8"/>
    <mergeCell ref="J8:J12"/>
    <mergeCell ref="K8:K12"/>
    <mergeCell ref="L8:L12"/>
    <mergeCell ref="F9:I9"/>
    <mergeCell ref="E10:E12"/>
    <mergeCell ref="F10:H10"/>
    <mergeCell ref="I10:I12"/>
    <mergeCell ref="F11:F12"/>
    <mergeCell ref="G11:H11"/>
    <mergeCell ref="A14:L14"/>
    <mergeCell ref="B15:L15"/>
    <mergeCell ref="B16:L16"/>
    <mergeCell ref="A17:A24"/>
    <mergeCell ref="B17:B24"/>
    <mergeCell ref="K17:K23"/>
    <mergeCell ref="L17:L32"/>
    <mergeCell ref="A25:A33"/>
    <mergeCell ref="B25:B33"/>
    <mergeCell ref="K25:K32"/>
    <mergeCell ref="C28:C29"/>
    <mergeCell ref="D28:D29"/>
    <mergeCell ref="E28:E29"/>
    <mergeCell ref="F28:F29"/>
    <mergeCell ref="G28:G29"/>
    <mergeCell ref="H28:H29"/>
    <mergeCell ref="I28:I29"/>
    <mergeCell ref="J28:J29"/>
    <mergeCell ref="A34:A41"/>
    <mergeCell ref="B34:B41"/>
    <mergeCell ref="K34:K40"/>
    <mergeCell ref="L34:L40"/>
    <mergeCell ref="A42:A49"/>
    <mergeCell ref="B42:B49"/>
    <mergeCell ref="K42:K48"/>
    <mergeCell ref="L42:L48"/>
    <mergeCell ref="A50:A62"/>
    <mergeCell ref="B50:B62"/>
    <mergeCell ref="C50:C52"/>
    <mergeCell ref="L50:L61"/>
    <mergeCell ref="C56:C57"/>
    <mergeCell ref="K58:K61"/>
    <mergeCell ref="A63:A79"/>
    <mergeCell ref="B63:B79"/>
    <mergeCell ref="C63:C66"/>
    <mergeCell ref="L63:L77"/>
    <mergeCell ref="K65:K78"/>
    <mergeCell ref="C67:C69"/>
    <mergeCell ref="C70:C72"/>
    <mergeCell ref="C73:C74"/>
    <mergeCell ref="C75:C76"/>
    <mergeCell ref="A80:A87"/>
    <mergeCell ref="B80:B87"/>
    <mergeCell ref="K80:K86"/>
    <mergeCell ref="L80:L86"/>
    <mergeCell ref="A88:A95"/>
    <mergeCell ref="B88:B95"/>
    <mergeCell ref="K88:K94"/>
    <mergeCell ref="L88:L94"/>
    <mergeCell ref="A96:A103"/>
    <mergeCell ref="B96:B103"/>
    <mergeCell ref="K96:K102"/>
    <mergeCell ref="L96:L102"/>
    <mergeCell ref="A104:A111"/>
    <mergeCell ref="B104:B111"/>
    <mergeCell ref="K104:K110"/>
    <mergeCell ref="L104:L110"/>
    <mergeCell ref="A112:A121"/>
    <mergeCell ref="B112:B121"/>
    <mergeCell ref="K112:K120"/>
    <mergeCell ref="L112:L120"/>
    <mergeCell ref="A122:A129"/>
    <mergeCell ref="B122:B129"/>
    <mergeCell ref="K122:K128"/>
    <mergeCell ref="L122:L142"/>
    <mergeCell ref="A130:A137"/>
    <mergeCell ref="B130:B137"/>
    <mergeCell ref="C130:C131"/>
    <mergeCell ref="K130:K138"/>
    <mergeCell ref="A138:A144"/>
    <mergeCell ref="B138:B144"/>
    <mergeCell ref="A145:A151"/>
    <mergeCell ref="B145:B151"/>
    <mergeCell ref="A152:A160"/>
    <mergeCell ref="B152:B160"/>
    <mergeCell ref="K152:K160"/>
    <mergeCell ref="C155:C157"/>
    <mergeCell ref="A161:A164"/>
    <mergeCell ref="B161:B164"/>
    <mergeCell ref="A165:A172"/>
    <mergeCell ref="B165:B172"/>
    <mergeCell ref="A173:L173"/>
    <mergeCell ref="B174:L174"/>
    <mergeCell ref="B175:L175"/>
    <mergeCell ref="L176:L660"/>
    <mergeCell ref="A177:A184"/>
    <mergeCell ref="B177:B184"/>
    <mergeCell ref="C177:C178"/>
    <mergeCell ref="A185:A191"/>
    <mergeCell ref="B185:B191"/>
    <mergeCell ref="A192:A198"/>
    <mergeCell ref="B192:B198"/>
    <mergeCell ref="A199:A206"/>
    <mergeCell ref="B199:B206"/>
    <mergeCell ref="C199:C200"/>
    <mergeCell ref="A207:A213"/>
    <mergeCell ref="B207:B213"/>
    <mergeCell ref="A214:A220"/>
    <mergeCell ref="B214:B220"/>
    <mergeCell ref="A221:A227"/>
    <mergeCell ref="B221:B227"/>
    <mergeCell ref="K222:K224"/>
    <mergeCell ref="A228:A234"/>
    <mergeCell ref="B228:B234"/>
    <mergeCell ref="K229:K235"/>
    <mergeCell ref="A235:A241"/>
    <mergeCell ref="B235:B241"/>
    <mergeCell ref="K237:K238"/>
    <mergeCell ref="A242:A248"/>
    <mergeCell ref="B242:B248"/>
    <mergeCell ref="K243:K245"/>
    <mergeCell ref="A249:A259"/>
    <mergeCell ref="B249:B259"/>
    <mergeCell ref="A260:A266"/>
    <mergeCell ref="B260:B266"/>
    <mergeCell ref="A267:A274"/>
    <mergeCell ref="B267:B274"/>
    <mergeCell ref="B275:B281"/>
    <mergeCell ref="A282:A288"/>
    <mergeCell ref="B282:B288"/>
    <mergeCell ref="A289:A295"/>
    <mergeCell ref="B289:B295"/>
    <mergeCell ref="A296:A302"/>
    <mergeCell ref="B296:B302"/>
    <mergeCell ref="A303:A309"/>
    <mergeCell ref="B303:B309"/>
    <mergeCell ref="K303:K307"/>
    <mergeCell ref="A310:A316"/>
    <mergeCell ref="B310:B316"/>
    <mergeCell ref="A317:A323"/>
    <mergeCell ref="B317:B323"/>
    <mergeCell ref="A324:A330"/>
    <mergeCell ref="B324:B330"/>
    <mergeCell ref="K324:K328"/>
    <mergeCell ref="A331:A337"/>
    <mergeCell ref="B331:B337"/>
    <mergeCell ref="K331:K335"/>
    <mergeCell ref="A338:A344"/>
    <mergeCell ref="B338:B344"/>
    <mergeCell ref="A345:A351"/>
    <mergeCell ref="B345:B351"/>
    <mergeCell ref="K345:K349"/>
    <mergeCell ref="A352:A358"/>
    <mergeCell ref="B352:B358"/>
    <mergeCell ref="K352:K356"/>
    <mergeCell ref="A359:A365"/>
    <mergeCell ref="B359:B365"/>
    <mergeCell ref="K359:K363"/>
    <mergeCell ref="A366:A372"/>
    <mergeCell ref="B366:B372"/>
    <mergeCell ref="A373:A379"/>
    <mergeCell ref="B373:B379"/>
    <mergeCell ref="A380:A386"/>
    <mergeCell ref="B380:B386"/>
    <mergeCell ref="A387:A393"/>
    <mergeCell ref="B387:B393"/>
    <mergeCell ref="A394:A400"/>
    <mergeCell ref="B394:B400"/>
    <mergeCell ref="A401:A407"/>
    <mergeCell ref="B401:B407"/>
    <mergeCell ref="A408:A415"/>
    <mergeCell ref="B408:B415"/>
    <mergeCell ref="K410:K415"/>
    <mergeCell ref="A416:A422"/>
    <mergeCell ref="B416:B422"/>
    <mergeCell ref="A423:A429"/>
    <mergeCell ref="B423:B429"/>
    <mergeCell ref="A430:A436"/>
    <mergeCell ref="B430:B436"/>
    <mergeCell ref="A437:A443"/>
    <mergeCell ref="B437:B443"/>
    <mergeCell ref="A444:A450"/>
    <mergeCell ref="B444:B450"/>
    <mergeCell ref="A451:A457"/>
    <mergeCell ref="B451:B457"/>
    <mergeCell ref="A458:A464"/>
    <mergeCell ref="B458:B464"/>
    <mergeCell ref="A465:A471"/>
    <mergeCell ref="B465:B471"/>
    <mergeCell ref="A472:A478"/>
    <mergeCell ref="B472:B478"/>
    <mergeCell ref="A479:A485"/>
    <mergeCell ref="B479:B485"/>
    <mergeCell ref="A486:A492"/>
    <mergeCell ref="B486:B492"/>
    <mergeCell ref="A493:A499"/>
    <mergeCell ref="B493:B499"/>
    <mergeCell ref="A500:A506"/>
    <mergeCell ref="B500:B506"/>
    <mergeCell ref="A507:A512"/>
    <mergeCell ref="B507:B512"/>
    <mergeCell ref="A513:A519"/>
    <mergeCell ref="B513:B519"/>
    <mergeCell ref="A520:A526"/>
    <mergeCell ref="B520:B526"/>
    <mergeCell ref="A527:A533"/>
    <mergeCell ref="B527:B533"/>
    <mergeCell ref="A534:A540"/>
    <mergeCell ref="B534:B540"/>
    <mergeCell ref="A541:A547"/>
    <mergeCell ref="B541:B547"/>
    <mergeCell ref="A548:A554"/>
    <mergeCell ref="B548:B554"/>
    <mergeCell ref="A555:A561"/>
    <mergeCell ref="B555:B561"/>
    <mergeCell ref="A562:A568"/>
    <mergeCell ref="B562:B568"/>
    <mergeCell ref="A569:A575"/>
    <mergeCell ref="B569:B575"/>
    <mergeCell ref="A576:A582"/>
    <mergeCell ref="B576:B582"/>
    <mergeCell ref="A583:A589"/>
    <mergeCell ref="B583:B589"/>
    <mergeCell ref="A590:A596"/>
    <mergeCell ref="B590:B596"/>
    <mergeCell ref="A597:A602"/>
    <mergeCell ref="B597:B602"/>
    <mergeCell ref="A603:A609"/>
    <mergeCell ref="B603:B609"/>
    <mergeCell ref="K606:K607"/>
    <mergeCell ref="A610:A616"/>
    <mergeCell ref="B610:B616"/>
    <mergeCell ref="A617:A623"/>
    <mergeCell ref="B617:B623"/>
    <mergeCell ref="A624:A630"/>
    <mergeCell ref="B624:B630"/>
    <mergeCell ref="A631:A637"/>
    <mergeCell ref="B631:B637"/>
    <mergeCell ref="A638:A644"/>
    <mergeCell ref="B638:B644"/>
    <mergeCell ref="K641:K642"/>
    <mergeCell ref="A645:A651"/>
    <mergeCell ref="B645:B651"/>
    <mergeCell ref="A652:A655"/>
    <mergeCell ref="B652:B655"/>
    <mergeCell ref="A656:A663"/>
    <mergeCell ref="B656:B663"/>
    <mergeCell ref="B664:L664"/>
    <mergeCell ref="B666:L666"/>
    <mergeCell ref="A667:A674"/>
    <mergeCell ref="B667:B674"/>
    <mergeCell ref="K667:K674"/>
    <mergeCell ref="A675:A681"/>
    <mergeCell ref="B675:B681"/>
    <mergeCell ref="A682:B689"/>
    <mergeCell ref="A690:K690"/>
    <mergeCell ref="B691:L691"/>
    <mergeCell ref="A692:A699"/>
    <mergeCell ref="B692:B699"/>
    <mergeCell ref="K692:K698"/>
    <mergeCell ref="L692:L754"/>
    <mergeCell ref="A700:A706"/>
    <mergeCell ref="B700:B706"/>
    <mergeCell ref="K700:K706"/>
    <mergeCell ref="A707:A714"/>
    <mergeCell ref="B707:B714"/>
    <mergeCell ref="K707:K713"/>
    <mergeCell ref="A715:A722"/>
    <mergeCell ref="B715:B722"/>
    <mergeCell ref="K715:K721"/>
    <mergeCell ref="A723:A730"/>
    <mergeCell ref="B723:B730"/>
    <mergeCell ref="K723:K729"/>
    <mergeCell ref="A731:A738"/>
    <mergeCell ref="B731:B738"/>
    <mergeCell ref="K731:K737"/>
    <mergeCell ref="A739:A746"/>
    <mergeCell ref="B739:B746"/>
    <mergeCell ref="K739:K745"/>
    <mergeCell ref="A747:A753"/>
    <mergeCell ref="B747:B753"/>
    <mergeCell ref="A754:B761"/>
    <mergeCell ref="A762:J762"/>
    <mergeCell ref="B764:L764"/>
    <mergeCell ref="A765:A772"/>
    <mergeCell ref="B765:B772"/>
    <mergeCell ref="L765:L778"/>
    <mergeCell ref="A773:B779"/>
    <mergeCell ref="A781:B789"/>
  </mergeCells>
  <printOptions/>
  <pageMargins left="0.8659722222222223" right="0.7083333333333334" top="0" bottom="0" header="0.5118055555555555" footer="0.5118055555555555"/>
  <pageSetup horizontalDpi="300" verticalDpi="300" orientation="landscape" paperSize="9" scale="58"/>
  <rowBreaks count="1" manualBreakCount="1">
    <brk id="7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1"/>
  <sheetViews>
    <sheetView zoomScale="80" zoomScaleNormal="80" workbookViewId="0" topLeftCell="C1">
      <selection activeCell="A2" sqref="A2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11.28125" style="0" customWidth="1"/>
    <col min="6" max="6" width="9.00390625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9.00390625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3.140625" style="0" customWidth="1"/>
    <col min="16" max="16" width="15.28125" style="0" customWidth="1"/>
    <col min="17" max="20" width="9.00390625" style="0" hidden="1" customWidth="1"/>
    <col min="21" max="21" width="21.7109375" style="0" customWidth="1"/>
    <col min="22" max="22" width="26.28125" style="0" customWidth="1"/>
  </cols>
  <sheetData>
    <row r="1" spans="1:23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7"/>
      <c r="V1" s="153"/>
      <c r="W1" s="13"/>
    </row>
    <row r="2" spans="1:26" ht="14.25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3"/>
      <c r="N2" s="13"/>
      <c r="O2" s="13"/>
      <c r="P2" s="11" t="s">
        <v>287</v>
      </c>
      <c r="Q2" s="11"/>
      <c r="R2" s="11"/>
      <c r="S2" s="11"/>
      <c r="T2" s="11"/>
      <c r="U2" s="11"/>
      <c r="V2" s="11"/>
      <c r="W2" s="13"/>
      <c r="X2" s="13"/>
      <c r="Y2" s="13"/>
      <c r="Z2" s="13"/>
    </row>
    <row r="3" spans="1:26" ht="14.25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3"/>
      <c r="O3" s="13"/>
      <c r="P3" s="154" t="s">
        <v>288</v>
      </c>
      <c r="Q3" s="154"/>
      <c r="R3" s="154"/>
      <c r="S3" s="154"/>
      <c r="T3" s="154"/>
      <c r="U3" s="154"/>
      <c r="V3" s="154"/>
      <c r="W3" s="13"/>
      <c r="X3" s="13"/>
      <c r="Y3" s="13"/>
      <c r="Z3" s="13"/>
    </row>
    <row r="4" spans="1:26" ht="14.25">
      <c r="A4" s="13"/>
      <c r="B4" s="5"/>
      <c r="C4" s="5"/>
      <c r="D4" s="5"/>
      <c r="E4" s="5"/>
      <c r="F4" s="5"/>
      <c r="G4" s="5"/>
      <c r="H4" s="5"/>
      <c r="I4" s="5"/>
      <c r="J4" s="5"/>
      <c r="K4" s="11"/>
      <c r="L4" s="11"/>
      <c r="M4" s="13"/>
      <c r="N4" s="13"/>
      <c r="O4" s="13"/>
      <c r="P4" s="154" t="s">
        <v>289</v>
      </c>
      <c r="Q4" s="154"/>
      <c r="R4" s="154"/>
      <c r="S4" s="154"/>
      <c r="T4" s="154"/>
      <c r="U4" s="154"/>
      <c r="V4" s="154"/>
      <c r="W4" s="13"/>
      <c r="X4" s="13"/>
      <c r="Y4" s="13"/>
      <c r="Z4" s="13"/>
    </row>
    <row r="5" spans="1:26" ht="14.25">
      <c r="A5" s="58"/>
      <c r="B5" s="8"/>
      <c r="C5" s="8"/>
      <c r="D5" s="8"/>
      <c r="E5" s="9"/>
      <c r="F5" s="8"/>
      <c r="G5" s="8"/>
      <c r="H5" s="8"/>
      <c r="I5" s="8"/>
      <c r="J5" s="61"/>
      <c r="K5" s="11"/>
      <c r="L5" s="11"/>
      <c r="M5" s="58"/>
      <c r="N5" s="58"/>
      <c r="O5" s="58"/>
      <c r="P5" s="58"/>
      <c r="Q5" s="58"/>
      <c r="R5" s="58"/>
      <c r="S5" s="58"/>
      <c r="T5" s="58"/>
      <c r="U5" s="58"/>
      <c r="V5" s="58"/>
      <c r="W5" s="13"/>
      <c r="X5" s="13"/>
      <c r="Y5" s="13"/>
      <c r="Z5" s="13"/>
    </row>
    <row r="6" spans="1:26" ht="14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3"/>
      <c r="X6" s="13"/>
      <c r="Y6" s="13"/>
      <c r="Z6" s="13"/>
    </row>
    <row r="7" spans="1:26" ht="14.25">
      <c r="A7" s="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13"/>
      <c r="X7" s="13"/>
      <c r="Y7" s="13"/>
      <c r="Z7" s="13"/>
    </row>
    <row r="8" spans="1:26" ht="17.25">
      <c r="A8" s="13"/>
      <c r="B8" s="13"/>
      <c r="C8" s="13"/>
      <c r="D8" s="13"/>
      <c r="E8" s="155" t="s">
        <v>290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38.25" customHeight="1">
      <c r="A9" s="17" t="s">
        <v>2</v>
      </c>
      <c r="B9" s="17" t="s">
        <v>38</v>
      </c>
      <c r="C9" s="17" t="s">
        <v>4</v>
      </c>
      <c r="D9" s="17" t="s">
        <v>291</v>
      </c>
      <c r="E9" s="17" t="s">
        <v>292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41</v>
      </c>
      <c r="Q9" s="69"/>
      <c r="R9" s="69"/>
      <c r="S9" s="69"/>
      <c r="T9" s="69"/>
      <c r="U9" s="17" t="s">
        <v>293</v>
      </c>
      <c r="V9" s="17" t="s">
        <v>43</v>
      </c>
      <c r="W9" s="13"/>
      <c r="X9" s="13"/>
      <c r="Y9" s="13"/>
      <c r="Z9" s="13"/>
    </row>
    <row r="10" spans="1:26" ht="19.5" customHeight="1">
      <c r="A10" s="17"/>
      <c r="B10" s="17"/>
      <c r="C10" s="17"/>
      <c r="D10" s="17"/>
      <c r="E10" s="17" t="s">
        <v>44</v>
      </c>
      <c r="F10" s="17"/>
      <c r="G10" s="17" t="s">
        <v>294</v>
      </c>
      <c r="H10" s="17"/>
      <c r="I10" s="17"/>
      <c r="J10" s="17"/>
      <c r="K10" s="17"/>
      <c r="L10" s="17"/>
      <c r="M10" s="17"/>
      <c r="N10" s="17"/>
      <c r="O10" s="17"/>
      <c r="P10" s="17"/>
      <c r="Q10" s="69"/>
      <c r="R10" s="69"/>
      <c r="S10" s="69"/>
      <c r="T10" s="69"/>
      <c r="U10" s="17"/>
      <c r="V10" s="17"/>
      <c r="W10" s="13"/>
      <c r="X10" s="13"/>
      <c r="Y10" s="13"/>
      <c r="Z10" s="13"/>
    </row>
    <row r="11" spans="1:26" ht="30" customHeight="1">
      <c r="A11" s="17"/>
      <c r="B11" s="17"/>
      <c r="C11" s="17"/>
      <c r="D11" s="17"/>
      <c r="E11" s="17"/>
      <c r="F11" s="69" t="s">
        <v>45</v>
      </c>
      <c r="G11" s="17" t="s">
        <v>45</v>
      </c>
      <c r="H11" s="17"/>
      <c r="I11" s="17"/>
      <c r="J11" s="17"/>
      <c r="K11" s="69"/>
      <c r="L11" s="69"/>
      <c r="M11" s="69"/>
      <c r="N11" s="69"/>
      <c r="O11" s="17" t="s">
        <v>46</v>
      </c>
      <c r="P11" s="17"/>
      <c r="Q11" s="69" t="s">
        <v>42</v>
      </c>
      <c r="R11" s="69"/>
      <c r="S11" s="69"/>
      <c r="T11" s="69"/>
      <c r="U11" s="17"/>
      <c r="V11" s="17"/>
      <c r="W11" s="13"/>
      <c r="X11" s="13"/>
      <c r="Y11" s="13"/>
      <c r="Z11" s="13"/>
    </row>
    <row r="12" spans="1:26" ht="30" customHeight="1">
      <c r="A12" s="17"/>
      <c r="B12" s="17"/>
      <c r="C12" s="17"/>
      <c r="D12" s="17"/>
      <c r="E12" s="17"/>
      <c r="F12" s="69"/>
      <c r="G12" s="17" t="s">
        <v>13</v>
      </c>
      <c r="H12" s="17" t="s">
        <v>40</v>
      </c>
      <c r="I12" s="17"/>
      <c r="J12" s="17"/>
      <c r="K12" s="69"/>
      <c r="L12" s="69"/>
      <c r="M12" s="69"/>
      <c r="N12" s="69"/>
      <c r="O12" s="17"/>
      <c r="P12" s="17"/>
      <c r="Q12" s="69"/>
      <c r="R12" s="69"/>
      <c r="S12" s="69"/>
      <c r="T12" s="69"/>
      <c r="U12" s="17"/>
      <c r="V12" s="17"/>
      <c r="W12" s="13"/>
      <c r="X12" s="13"/>
      <c r="Y12" s="13"/>
      <c r="Z12" s="13"/>
    </row>
    <row r="13" spans="1:26" ht="57" customHeight="1">
      <c r="A13" s="17"/>
      <c r="B13" s="17"/>
      <c r="C13" s="17"/>
      <c r="D13" s="17"/>
      <c r="E13" s="17"/>
      <c r="F13" s="69"/>
      <c r="G13" s="17"/>
      <c r="H13" s="156" t="s">
        <v>15</v>
      </c>
      <c r="I13" s="156" t="s">
        <v>16</v>
      </c>
      <c r="J13" s="69"/>
      <c r="K13" s="69"/>
      <c r="L13" s="69"/>
      <c r="M13" s="69"/>
      <c r="N13" s="69"/>
      <c r="O13" s="17"/>
      <c r="P13" s="17"/>
      <c r="Q13" s="20"/>
      <c r="R13" s="20"/>
      <c r="S13" s="20"/>
      <c r="T13" s="20"/>
      <c r="U13" s="17"/>
      <c r="V13" s="17"/>
      <c r="W13" s="13"/>
      <c r="X13" s="13"/>
      <c r="Y13" s="13"/>
      <c r="Z13" s="13"/>
    </row>
    <row r="14" spans="1:26" ht="14.25">
      <c r="A14" s="156">
        <v>1</v>
      </c>
      <c r="B14" s="156">
        <v>2</v>
      </c>
      <c r="C14" s="156">
        <v>3</v>
      </c>
      <c r="D14" s="156">
        <v>4</v>
      </c>
      <c r="E14" s="156">
        <v>5</v>
      </c>
      <c r="F14" s="157">
        <v>6</v>
      </c>
      <c r="G14" s="158">
        <v>6</v>
      </c>
      <c r="H14" s="158">
        <v>7</v>
      </c>
      <c r="I14" s="158">
        <v>8</v>
      </c>
      <c r="J14" s="159"/>
      <c r="K14" s="159"/>
      <c r="L14" s="159"/>
      <c r="M14" s="159"/>
      <c r="N14" s="160"/>
      <c r="O14" s="156">
        <v>9</v>
      </c>
      <c r="P14" s="156">
        <v>10</v>
      </c>
      <c r="Q14" s="156">
        <v>11</v>
      </c>
      <c r="R14" s="156"/>
      <c r="S14" s="156"/>
      <c r="T14" s="156"/>
      <c r="U14" s="156"/>
      <c r="V14" s="156">
        <v>12</v>
      </c>
      <c r="W14" s="13"/>
      <c r="X14" s="13"/>
      <c r="Y14" s="13"/>
      <c r="Z14" s="13"/>
    </row>
    <row r="15" spans="1:26" ht="18" customHeight="1">
      <c r="A15" s="161" t="s">
        <v>295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3"/>
      <c r="X15" s="13"/>
      <c r="Y15" s="13"/>
      <c r="Z15" s="13"/>
    </row>
    <row r="16" spans="1:26" s="163" customFormat="1" ht="27.75" customHeight="1">
      <c r="A16" s="64" t="s">
        <v>296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162"/>
      <c r="X16" s="162"/>
      <c r="Y16" s="162"/>
      <c r="Z16" s="162"/>
    </row>
    <row r="17" spans="1:22" s="13" customFormat="1" ht="25.5" customHeight="1">
      <c r="A17" s="64" t="s">
        <v>297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s="13" customFormat="1" ht="26.25" customHeight="1">
      <c r="A18" s="17" t="s">
        <v>17</v>
      </c>
      <c r="B18" s="17" t="s">
        <v>298</v>
      </c>
      <c r="C18" s="17">
        <v>2017</v>
      </c>
      <c r="D18" s="131">
        <f>O18</f>
        <v>25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>
        <v>25</v>
      </c>
      <c r="P18" s="64"/>
      <c r="Q18" s="64"/>
      <c r="R18" s="64"/>
      <c r="S18" s="64"/>
      <c r="T18" s="64"/>
      <c r="U18" s="164" t="s">
        <v>54</v>
      </c>
      <c r="V18" s="17" t="s">
        <v>299</v>
      </c>
    </row>
    <row r="19" spans="1:22" s="13" customFormat="1" ht="26.25" customHeight="1">
      <c r="A19" s="17"/>
      <c r="B19" s="17"/>
      <c r="C19" s="17">
        <v>2018</v>
      </c>
      <c r="D19" s="131">
        <v>8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31">
        <f>8</f>
        <v>8</v>
      </c>
      <c r="P19" s="69"/>
      <c r="Q19" s="69"/>
      <c r="R19" s="69" t="s">
        <v>300</v>
      </c>
      <c r="S19" s="69"/>
      <c r="T19" s="69"/>
      <c r="U19" s="164"/>
      <c r="V19" s="17"/>
    </row>
    <row r="20" spans="1:22" s="13" customFormat="1" ht="14.25">
      <c r="A20" s="17"/>
      <c r="B20" s="17"/>
      <c r="C20" s="17">
        <v>2019</v>
      </c>
      <c r="D20" s="131">
        <f aca="true" t="shared" si="0" ref="D20:D27">O20</f>
        <v>13.5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31">
        <f>10.5+3</f>
        <v>13.5</v>
      </c>
      <c r="P20" s="69"/>
      <c r="Q20" s="69"/>
      <c r="R20" s="20"/>
      <c r="S20" s="20"/>
      <c r="T20" s="20"/>
      <c r="U20" s="164"/>
      <c r="V20" s="17"/>
    </row>
    <row r="21" spans="1:22" s="13" customFormat="1" ht="14.25" customHeight="1">
      <c r="A21" s="17"/>
      <c r="B21" s="17"/>
      <c r="C21" s="17">
        <v>2020</v>
      </c>
      <c r="D21" s="131">
        <f t="shared" si="0"/>
        <v>4</v>
      </c>
      <c r="E21" s="165"/>
      <c r="F21" s="165"/>
      <c r="G21" s="165"/>
      <c r="H21" s="165"/>
      <c r="I21" s="165"/>
      <c r="J21" s="166"/>
      <c r="K21" s="166"/>
      <c r="L21" s="166"/>
      <c r="M21" s="166"/>
      <c r="N21" s="166"/>
      <c r="O21" s="131">
        <v>4</v>
      </c>
      <c r="P21" s="69"/>
      <c r="Q21" s="69"/>
      <c r="R21" s="20"/>
      <c r="S21" s="20"/>
      <c r="T21" s="20"/>
      <c r="U21" s="164"/>
      <c r="V21" s="17"/>
    </row>
    <row r="22" spans="1:22" s="13" customFormat="1" ht="14.25">
      <c r="A22" s="17"/>
      <c r="B22" s="17"/>
      <c r="C22" s="17">
        <v>2021</v>
      </c>
      <c r="D22" s="131">
        <f t="shared" si="0"/>
        <v>35</v>
      </c>
      <c r="E22" s="165"/>
      <c r="F22" s="165"/>
      <c r="G22" s="165"/>
      <c r="H22" s="165"/>
      <c r="I22" s="165"/>
      <c r="J22" s="166"/>
      <c r="K22" s="166"/>
      <c r="L22" s="166"/>
      <c r="M22" s="166"/>
      <c r="N22" s="166"/>
      <c r="O22" s="131">
        <f>25+10</f>
        <v>35</v>
      </c>
      <c r="P22" s="69"/>
      <c r="Q22" s="69"/>
      <c r="R22" s="20"/>
      <c r="S22" s="20"/>
      <c r="T22" s="20"/>
      <c r="U22" s="164"/>
      <c r="V22" s="17"/>
    </row>
    <row r="23" spans="1:22" s="13" customFormat="1" ht="14.25">
      <c r="A23" s="17"/>
      <c r="B23" s="17"/>
      <c r="C23" s="17">
        <v>2022</v>
      </c>
      <c r="D23" s="131">
        <f t="shared" si="0"/>
        <v>35</v>
      </c>
      <c r="E23" s="165"/>
      <c r="F23" s="165"/>
      <c r="G23" s="165"/>
      <c r="H23" s="165"/>
      <c r="I23" s="165"/>
      <c r="J23" s="166"/>
      <c r="K23" s="166"/>
      <c r="L23" s="166"/>
      <c r="M23" s="166"/>
      <c r="N23" s="166"/>
      <c r="O23" s="131">
        <v>35</v>
      </c>
      <c r="P23" s="69"/>
      <c r="Q23" s="69"/>
      <c r="R23" s="20"/>
      <c r="S23" s="20"/>
      <c r="T23" s="20"/>
      <c r="U23" s="164"/>
      <c r="V23" s="17"/>
    </row>
    <row r="24" spans="1:22" s="13" customFormat="1" ht="14.25">
      <c r="A24" s="17"/>
      <c r="B24" s="17"/>
      <c r="C24" s="17">
        <v>2023</v>
      </c>
      <c r="D24" s="131">
        <f t="shared" si="0"/>
        <v>15</v>
      </c>
      <c r="E24" s="165"/>
      <c r="F24" s="165"/>
      <c r="G24" s="165"/>
      <c r="H24" s="165"/>
      <c r="I24" s="165"/>
      <c r="J24" s="166"/>
      <c r="K24" s="166"/>
      <c r="L24" s="166"/>
      <c r="M24" s="166"/>
      <c r="N24" s="166"/>
      <c r="O24" s="131">
        <v>15</v>
      </c>
      <c r="P24" s="69"/>
      <c r="Q24" s="69"/>
      <c r="R24" s="20"/>
      <c r="S24" s="167"/>
      <c r="T24" s="168"/>
      <c r="U24" s="164"/>
      <c r="V24" s="17"/>
    </row>
    <row r="25" spans="1:22" s="13" customFormat="1" ht="14.25">
      <c r="A25" s="17"/>
      <c r="B25" s="17"/>
      <c r="C25" s="17">
        <v>2024</v>
      </c>
      <c r="D25" s="131">
        <f t="shared" si="0"/>
        <v>5</v>
      </c>
      <c r="E25" s="165"/>
      <c r="F25" s="165"/>
      <c r="G25" s="165"/>
      <c r="H25" s="165"/>
      <c r="I25" s="165"/>
      <c r="J25" s="166"/>
      <c r="K25" s="166"/>
      <c r="L25" s="166"/>
      <c r="M25" s="166"/>
      <c r="N25" s="166"/>
      <c r="O25" s="131">
        <v>5</v>
      </c>
      <c r="P25" s="69"/>
      <c r="Q25" s="69"/>
      <c r="R25" s="20"/>
      <c r="S25" s="167"/>
      <c r="T25" s="168"/>
      <c r="U25" s="169"/>
      <c r="V25" s="170"/>
    </row>
    <row r="26" spans="1:22" s="13" customFormat="1" ht="14.25" customHeight="1">
      <c r="A26" s="17">
        <v>2</v>
      </c>
      <c r="B26" s="17" t="s">
        <v>301</v>
      </c>
      <c r="C26" s="17">
        <v>2017</v>
      </c>
      <c r="D26" s="131">
        <f t="shared" si="0"/>
        <v>120</v>
      </c>
      <c r="E26" s="165"/>
      <c r="F26" s="165"/>
      <c r="G26" s="165"/>
      <c r="H26" s="165"/>
      <c r="I26" s="165"/>
      <c r="J26" s="166"/>
      <c r="K26" s="166"/>
      <c r="L26" s="166"/>
      <c r="M26" s="166"/>
      <c r="N26" s="166"/>
      <c r="O26" s="131">
        <v>120</v>
      </c>
      <c r="P26" s="69"/>
      <c r="Q26" s="69"/>
      <c r="R26" s="20"/>
      <c r="S26" s="17" t="s">
        <v>54</v>
      </c>
      <c r="T26" s="17"/>
      <c r="U26" s="17"/>
      <c r="V26" s="17" t="s">
        <v>302</v>
      </c>
    </row>
    <row r="27" spans="1:22" s="13" customFormat="1" ht="24" customHeight="1">
      <c r="A27" s="17"/>
      <c r="B27" s="17"/>
      <c r="C27" s="17">
        <v>2018</v>
      </c>
      <c r="D27" s="131">
        <f t="shared" si="0"/>
        <v>15.052</v>
      </c>
      <c r="E27" s="165"/>
      <c r="F27" s="165"/>
      <c r="G27" s="165"/>
      <c r="H27" s="165"/>
      <c r="I27" s="165"/>
      <c r="J27" s="165"/>
      <c r="K27" s="171"/>
      <c r="L27" s="171"/>
      <c r="M27" s="171"/>
      <c r="N27" s="171"/>
      <c r="O27" s="131">
        <v>15.052</v>
      </c>
      <c r="P27" s="17"/>
      <c r="Q27" s="69"/>
      <c r="R27" s="69"/>
      <c r="S27" s="17"/>
      <c r="T27" s="17"/>
      <c r="U27" s="17"/>
      <c r="V27" s="17"/>
    </row>
    <row r="28" spans="1:22" s="13" customFormat="1" ht="25.5" customHeight="1" hidden="1">
      <c r="A28" s="17"/>
      <c r="B28" s="17"/>
      <c r="C28" s="17"/>
      <c r="D28" s="131"/>
      <c r="E28" s="165"/>
      <c r="F28" s="165"/>
      <c r="G28" s="165"/>
      <c r="H28" s="165"/>
      <c r="I28" s="165"/>
      <c r="J28" s="165"/>
      <c r="K28" s="171"/>
      <c r="L28" s="171"/>
      <c r="M28" s="171"/>
      <c r="N28" s="171"/>
      <c r="O28" s="131"/>
      <c r="P28" s="17"/>
      <c r="Q28" s="69"/>
      <c r="R28" s="69"/>
      <c r="S28" s="17"/>
      <c r="T28" s="17"/>
      <c r="U28" s="17"/>
      <c r="V28" s="17"/>
    </row>
    <row r="29" spans="1:22" s="13" customFormat="1" ht="14.25">
      <c r="A29" s="17"/>
      <c r="B29" s="17"/>
      <c r="C29" s="17">
        <v>2019</v>
      </c>
      <c r="D29" s="131">
        <f aca="true" t="shared" si="1" ref="D29:D51">O29</f>
        <v>62.5</v>
      </c>
      <c r="E29" s="165"/>
      <c r="F29" s="165"/>
      <c r="G29" s="165"/>
      <c r="H29" s="165"/>
      <c r="I29" s="165"/>
      <c r="J29" s="165"/>
      <c r="K29" s="171"/>
      <c r="L29" s="171"/>
      <c r="M29" s="171"/>
      <c r="N29" s="171"/>
      <c r="O29" s="131">
        <v>62.5</v>
      </c>
      <c r="P29" s="69"/>
      <c r="Q29" s="69"/>
      <c r="R29" s="69"/>
      <c r="S29" s="17"/>
      <c r="T29" s="17"/>
      <c r="U29" s="17"/>
      <c r="V29" s="17"/>
    </row>
    <row r="30" spans="1:22" s="13" customFormat="1" ht="18" customHeight="1">
      <c r="A30" s="17"/>
      <c r="B30" s="17"/>
      <c r="C30" s="17">
        <v>2020</v>
      </c>
      <c r="D30" s="131">
        <f t="shared" si="1"/>
        <v>15</v>
      </c>
      <c r="E30" s="165"/>
      <c r="F30" s="165"/>
      <c r="G30" s="165"/>
      <c r="H30" s="165"/>
      <c r="I30" s="165"/>
      <c r="J30" s="165"/>
      <c r="K30" s="171"/>
      <c r="L30" s="171"/>
      <c r="M30" s="171"/>
      <c r="N30" s="171"/>
      <c r="O30" s="131">
        <v>15</v>
      </c>
      <c r="P30" s="69"/>
      <c r="Q30" s="69"/>
      <c r="R30" s="69"/>
      <c r="S30" s="17"/>
      <c r="T30" s="17"/>
      <c r="U30" s="17"/>
      <c r="V30" s="17"/>
    </row>
    <row r="31" spans="1:22" s="13" customFormat="1" ht="15.75" customHeight="1">
      <c r="A31" s="17"/>
      <c r="B31" s="17"/>
      <c r="C31" s="17">
        <v>2021</v>
      </c>
      <c r="D31" s="131">
        <f t="shared" si="1"/>
        <v>70</v>
      </c>
      <c r="E31" s="165"/>
      <c r="F31" s="165"/>
      <c r="G31" s="165"/>
      <c r="H31" s="165"/>
      <c r="I31" s="165"/>
      <c r="J31" s="165"/>
      <c r="K31" s="171"/>
      <c r="L31" s="171"/>
      <c r="M31" s="171"/>
      <c r="N31" s="171"/>
      <c r="O31" s="131">
        <f>50+20</f>
        <v>70</v>
      </c>
      <c r="P31" s="69"/>
      <c r="Q31" s="69"/>
      <c r="R31" s="69"/>
      <c r="S31" s="17"/>
      <c r="T31" s="17"/>
      <c r="U31" s="17"/>
      <c r="V31" s="17"/>
    </row>
    <row r="32" spans="1:22" s="13" customFormat="1" ht="15.75" customHeight="1">
      <c r="A32" s="17"/>
      <c r="B32" s="17"/>
      <c r="C32" s="17">
        <v>2022</v>
      </c>
      <c r="D32" s="131">
        <f t="shared" si="1"/>
        <v>70</v>
      </c>
      <c r="E32" s="165"/>
      <c r="F32" s="165"/>
      <c r="G32" s="165"/>
      <c r="H32" s="165"/>
      <c r="I32" s="165"/>
      <c r="J32" s="165"/>
      <c r="K32" s="171"/>
      <c r="L32" s="171"/>
      <c r="M32" s="171"/>
      <c r="N32" s="171"/>
      <c r="O32" s="131">
        <v>70</v>
      </c>
      <c r="P32" s="69"/>
      <c r="Q32" s="69"/>
      <c r="R32" s="69"/>
      <c r="S32" s="17"/>
      <c r="T32" s="17"/>
      <c r="U32" s="17"/>
      <c r="V32" s="17"/>
    </row>
    <row r="33" spans="1:22" s="13" customFormat="1" ht="15.75" customHeight="1">
      <c r="A33" s="17"/>
      <c r="B33" s="17"/>
      <c r="C33" s="17">
        <v>2023</v>
      </c>
      <c r="D33" s="131">
        <f t="shared" si="1"/>
        <v>27.014</v>
      </c>
      <c r="E33" s="165"/>
      <c r="F33" s="165"/>
      <c r="G33" s="165"/>
      <c r="H33" s="165"/>
      <c r="I33" s="165"/>
      <c r="J33" s="165"/>
      <c r="K33" s="171"/>
      <c r="L33" s="171"/>
      <c r="M33" s="171"/>
      <c r="N33" s="171"/>
      <c r="O33" s="131">
        <v>27.014</v>
      </c>
      <c r="P33" s="69"/>
      <c r="Q33" s="69"/>
      <c r="R33" s="69"/>
      <c r="S33" s="17"/>
      <c r="T33" s="17"/>
      <c r="U33" s="17"/>
      <c r="V33" s="17"/>
    </row>
    <row r="34" spans="1:22" s="13" customFormat="1" ht="15.75" customHeight="1">
      <c r="A34" s="17"/>
      <c r="B34" s="17"/>
      <c r="C34" s="17">
        <v>2024</v>
      </c>
      <c r="D34" s="131">
        <f t="shared" si="1"/>
        <v>6.927</v>
      </c>
      <c r="E34" s="165"/>
      <c r="F34" s="165"/>
      <c r="G34" s="165"/>
      <c r="H34" s="165"/>
      <c r="I34" s="165"/>
      <c r="J34" s="165"/>
      <c r="K34" s="171"/>
      <c r="L34" s="171"/>
      <c r="M34" s="171"/>
      <c r="N34" s="171"/>
      <c r="O34" s="131">
        <v>6.927</v>
      </c>
      <c r="P34" s="69"/>
      <c r="Q34" s="69"/>
      <c r="R34" s="69"/>
      <c r="S34" s="172"/>
      <c r="T34" s="173"/>
      <c r="U34" s="169"/>
      <c r="V34" s="170"/>
    </row>
    <row r="35" spans="1:22" s="13" customFormat="1" ht="21" customHeight="1">
      <c r="A35" s="17">
        <v>3</v>
      </c>
      <c r="B35" s="17" t="s">
        <v>303</v>
      </c>
      <c r="C35" s="17">
        <v>2017</v>
      </c>
      <c r="D35" s="131">
        <f t="shared" si="1"/>
        <v>40</v>
      </c>
      <c r="E35" s="131"/>
      <c r="F35" s="131"/>
      <c r="G35" s="131"/>
      <c r="H35" s="131"/>
      <c r="I35" s="131"/>
      <c r="J35" s="131"/>
      <c r="K35" s="171"/>
      <c r="L35" s="171"/>
      <c r="M35" s="171"/>
      <c r="N35" s="171"/>
      <c r="O35" s="131">
        <v>40</v>
      </c>
      <c r="P35" s="69"/>
      <c r="Q35" s="69"/>
      <c r="R35" s="69"/>
      <c r="S35" s="17"/>
      <c r="T35" s="17" t="s">
        <v>54</v>
      </c>
      <c r="U35" s="17"/>
      <c r="V35" s="17" t="s">
        <v>304</v>
      </c>
    </row>
    <row r="36" spans="1:22" s="13" customFormat="1" ht="14.25" customHeight="1">
      <c r="A36" s="17"/>
      <c r="B36" s="17"/>
      <c r="C36" s="17">
        <v>2018</v>
      </c>
      <c r="D36" s="174">
        <f t="shared" si="1"/>
        <v>180.648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4">
        <f>180.648</f>
        <v>180.648</v>
      </c>
      <c r="P36" s="69"/>
      <c r="Q36" s="69"/>
      <c r="R36" s="69"/>
      <c r="S36" s="69"/>
      <c r="T36" s="17"/>
      <c r="U36" s="17"/>
      <c r="V36" s="17"/>
    </row>
    <row r="37" spans="1:22" s="13" customFormat="1" ht="21" customHeight="1">
      <c r="A37" s="17"/>
      <c r="B37" s="17"/>
      <c r="C37" s="176">
        <v>2019</v>
      </c>
      <c r="D37" s="174">
        <f t="shared" si="1"/>
        <v>157.535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4">
        <f>160.436-2.901</f>
        <v>157.535</v>
      </c>
      <c r="P37" s="69"/>
      <c r="Q37" s="69"/>
      <c r="R37" s="69"/>
      <c r="S37" s="69"/>
      <c r="T37" s="17"/>
      <c r="U37" s="17"/>
      <c r="V37" s="17"/>
    </row>
    <row r="38" spans="1:22" s="13" customFormat="1" ht="24" customHeight="1">
      <c r="A38" s="17"/>
      <c r="B38" s="17"/>
      <c r="C38" s="176">
        <v>2020</v>
      </c>
      <c r="D38" s="174">
        <f t="shared" si="1"/>
        <v>110.7</v>
      </c>
      <c r="E38" s="175"/>
      <c r="F38" s="175"/>
      <c r="G38" s="175"/>
      <c r="H38" s="175"/>
      <c r="I38" s="175"/>
      <c r="J38" s="175"/>
      <c r="K38" s="177"/>
      <c r="L38" s="177"/>
      <c r="M38" s="177"/>
      <c r="N38" s="177"/>
      <c r="O38" s="174">
        <v>110.7</v>
      </c>
      <c r="P38" s="69"/>
      <c r="Q38" s="69"/>
      <c r="R38" s="69"/>
      <c r="S38" s="69"/>
      <c r="T38" s="17"/>
      <c r="U38" s="17"/>
      <c r="V38" s="17"/>
    </row>
    <row r="39" spans="1:22" s="13" customFormat="1" ht="20.25" customHeight="1">
      <c r="A39" s="17"/>
      <c r="B39" s="17"/>
      <c r="C39" s="176">
        <v>2021</v>
      </c>
      <c r="D39" s="174">
        <f t="shared" si="1"/>
        <v>115</v>
      </c>
      <c r="E39" s="175"/>
      <c r="F39" s="175"/>
      <c r="G39" s="175"/>
      <c r="H39" s="175"/>
      <c r="I39" s="175"/>
      <c r="J39" s="175"/>
      <c r="K39" s="177"/>
      <c r="L39" s="177"/>
      <c r="M39" s="177"/>
      <c r="N39" s="177"/>
      <c r="O39" s="174">
        <f>70+45</f>
        <v>115</v>
      </c>
      <c r="P39" s="69"/>
      <c r="Q39" s="69"/>
      <c r="R39" s="69"/>
      <c r="S39" s="69"/>
      <c r="T39" s="17"/>
      <c r="U39" s="17"/>
      <c r="V39" s="17"/>
    </row>
    <row r="40" spans="1:22" s="13" customFormat="1" ht="20.25" customHeight="1">
      <c r="A40" s="17"/>
      <c r="B40" s="17"/>
      <c r="C40" s="176">
        <v>2022</v>
      </c>
      <c r="D40" s="174">
        <f t="shared" si="1"/>
        <v>115</v>
      </c>
      <c r="E40" s="175"/>
      <c r="F40" s="175"/>
      <c r="G40" s="175"/>
      <c r="H40" s="175"/>
      <c r="I40" s="175"/>
      <c r="J40" s="175"/>
      <c r="K40" s="177"/>
      <c r="L40" s="177"/>
      <c r="M40" s="177"/>
      <c r="N40" s="177"/>
      <c r="O40" s="174">
        <v>115</v>
      </c>
      <c r="P40" s="69"/>
      <c r="Q40" s="69"/>
      <c r="R40" s="69"/>
      <c r="S40" s="69"/>
      <c r="T40" s="17"/>
      <c r="U40" s="17"/>
      <c r="V40" s="17"/>
    </row>
    <row r="41" spans="1:22" s="13" customFormat="1" ht="20.25" customHeight="1">
      <c r="A41" s="17"/>
      <c r="B41" s="17"/>
      <c r="C41" s="176">
        <v>2023</v>
      </c>
      <c r="D41" s="174">
        <f t="shared" si="1"/>
        <v>35</v>
      </c>
      <c r="E41" s="175"/>
      <c r="F41" s="175"/>
      <c r="G41" s="175"/>
      <c r="H41" s="175"/>
      <c r="I41" s="175"/>
      <c r="J41" s="175"/>
      <c r="K41" s="177"/>
      <c r="L41" s="177"/>
      <c r="M41" s="177"/>
      <c r="N41" s="177"/>
      <c r="O41" s="174">
        <v>35</v>
      </c>
      <c r="P41" s="69"/>
      <c r="Q41" s="69"/>
      <c r="R41" s="69"/>
      <c r="S41" s="69"/>
      <c r="T41" s="17"/>
      <c r="U41" s="17"/>
      <c r="V41" s="17"/>
    </row>
    <row r="42" spans="1:22" s="13" customFormat="1" ht="20.25" customHeight="1">
      <c r="A42" s="17"/>
      <c r="B42" s="17"/>
      <c r="C42" s="176">
        <v>2024</v>
      </c>
      <c r="D42" s="174">
        <f t="shared" si="1"/>
        <v>15</v>
      </c>
      <c r="E42" s="175"/>
      <c r="F42" s="175"/>
      <c r="G42" s="175"/>
      <c r="H42" s="175"/>
      <c r="I42" s="175"/>
      <c r="J42" s="175"/>
      <c r="K42" s="177"/>
      <c r="L42" s="177"/>
      <c r="M42" s="177"/>
      <c r="N42" s="177"/>
      <c r="O42" s="174">
        <v>15</v>
      </c>
      <c r="P42" s="69"/>
      <c r="Q42" s="69"/>
      <c r="R42" s="69"/>
      <c r="S42" s="69"/>
      <c r="T42" s="172"/>
      <c r="U42" s="169"/>
      <c r="V42" s="170"/>
    </row>
    <row r="43" spans="1:22" s="13" customFormat="1" ht="24" customHeight="1">
      <c r="A43" s="17" t="s">
        <v>305</v>
      </c>
      <c r="B43" s="65" t="s">
        <v>306</v>
      </c>
      <c r="C43" s="176">
        <v>2017</v>
      </c>
      <c r="D43" s="174">
        <f t="shared" si="1"/>
        <v>163.5</v>
      </c>
      <c r="E43" s="175"/>
      <c r="F43" s="175"/>
      <c r="G43" s="175"/>
      <c r="H43" s="175"/>
      <c r="I43" s="175"/>
      <c r="J43" s="175"/>
      <c r="K43" s="177"/>
      <c r="L43" s="177"/>
      <c r="M43" s="177"/>
      <c r="N43" s="177"/>
      <c r="O43" s="174">
        <v>163.5</v>
      </c>
      <c r="P43" s="69"/>
      <c r="Q43" s="69"/>
      <c r="R43" s="69"/>
      <c r="S43" s="69"/>
      <c r="T43" s="17"/>
      <c r="U43" s="17" t="s">
        <v>54</v>
      </c>
      <c r="V43" s="17" t="s">
        <v>307</v>
      </c>
    </row>
    <row r="44" spans="1:22" s="13" customFormat="1" ht="28.5" customHeight="1">
      <c r="A44" s="17"/>
      <c r="B44" s="65"/>
      <c r="C44" s="17">
        <v>2018</v>
      </c>
      <c r="D44" s="131">
        <f t="shared" si="1"/>
        <v>144.8</v>
      </c>
      <c r="E44" s="165"/>
      <c r="F44" s="165"/>
      <c r="G44" s="165"/>
      <c r="H44" s="165"/>
      <c r="I44" s="165"/>
      <c r="J44" s="165"/>
      <c r="K44" s="131"/>
      <c r="L44" s="131"/>
      <c r="M44" s="131"/>
      <c r="N44" s="131"/>
      <c r="O44" s="131">
        <f>144.8</f>
        <v>144.8</v>
      </c>
      <c r="P44" s="69"/>
      <c r="Q44" s="69"/>
      <c r="R44" s="69"/>
      <c r="S44" s="69"/>
      <c r="T44" s="69"/>
      <c r="U44" s="17"/>
      <c r="V44" s="17"/>
    </row>
    <row r="45" spans="1:22" s="13" customFormat="1" ht="14.25" customHeight="1">
      <c r="A45" s="17"/>
      <c r="B45" s="65"/>
      <c r="C45" s="17">
        <v>2019</v>
      </c>
      <c r="D45" s="131">
        <f t="shared" si="1"/>
        <v>166.465</v>
      </c>
      <c r="E45" s="165"/>
      <c r="F45" s="165"/>
      <c r="G45" s="165"/>
      <c r="H45" s="165"/>
      <c r="I45" s="165"/>
      <c r="J45" s="165"/>
      <c r="K45" s="131"/>
      <c r="L45" s="131"/>
      <c r="M45" s="131"/>
      <c r="N45" s="131"/>
      <c r="O45" s="131">
        <v>166.465</v>
      </c>
      <c r="P45" s="69"/>
      <c r="Q45" s="69"/>
      <c r="R45" s="69"/>
      <c r="S45" s="69"/>
      <c r="T45" s="69"/>
      <c r="U45" s="17"/>
      <c r="V45" s="17"/>
    </row>
    <row r="46" spans="1:22" s="13" customFormat="1" ht="18.75" customHeight="1">
      <c r="A46" s="17"/>
      <c r="B46" s="65"/>
      <c r="C46" s="17">
        <v>2020</v>
      </c>
      <c r="D46" s="131">
        <f t="shared" si="1"/>
        <v>269.4825</v>
      </c>
      <c r="E46" s="165"/>
      <c r="F46" s="165"/>
      <c r="G46" s="165"/>
      <c r="H46" s="165"/>
      <c r="I46" s="165"/>
      <c r="J46" s="165"/>
      <c r="K46" s="131"/>
      <c r="L46" s="131"/>
      <c r="M46" s="131"/>
      <c r="N46" s="131"/>
      <c r="O46" s="131">
        <f>270.3-0.05-0.7675</f>
        <v>269.4825</v>
      </c>
      <c r="P46" s="69"/>
      <c r="Q46" s="69"/>
      <c r="R46" s="69"/>
      <c r="S46" s="69"/>
      <c r="T46" s="69"/>
      <c r="U46" s="17"/>
      <c r="V46" s="17"/>
    </row>
    <row r="47" spans="1:22" s="13" customFormat="1" ht="18.75" customHeight="1">
      <c r="A47" s="17"/>
      <c r="B47" s="65"/>
      <c r="C47" s="17">
        <v>2021</v>
      </c>
      <c r="D47" s="131">
        <f t="shared" si="1"/>
        <v>150</v>
      </c>
      <c r="E47" s="165"/>
      <c r="F47" s="165"/>
      <c r="G47" s="165"/>
      <c r="H47" s="165"/>
      <c r="I47" s="165"/>
      <c r="J47" s="165"/>
      <c r="K47" s="131"/>
      <c r="L47" s="131"/>
      <c r="M47" s="131"/>
      <c r="N47" s="131"/>
      <c r="O47" s="131">
        <f>125+25</f>
        <v>150</v>
      </c>
      <c r="P47" s="69"/>
      <c r="Q47" s="69"/>
      <c r="R47" s="69"/>
      <c r="S47" s="69"/>
      <c r="T47" s="69"/>
      <c r="U47" s="17"/>
      <c r="V47" s="17"/>
    </row>
    <row r="48" spans="1:22" s="13" customFormat="1" ht="18.75" customHeight="1">
      <c r="A48" s="17"/>
      <c r="B48" s="65"/>
      <c r="C48" s="17">
        <v>2022</v>
      </c>
      <c r="D48" s="131">
        <f t="shared" si="1"/>
        <v>150</v>
      </c>
      <c r="E48" s="165"/>
      <c r="F48" s="165"/>
      <c r="G48" s="165"/>
      <c r="H48" s="165"/>
      <c r="I48" s="165"/>
      <c r="J48" s="165"/>
      <c r="K48" s="131"/>
      <c r="L48" s="131"/>
      <c r="M48" s="131"/>
      <c r="N48" s="131"/>
      <c r="O48" s="131">
        <v>150</v>
      </c>
      <c r="P48" s="69"/>
      <c r="Q48" s="69"/>
      <c r="R48" s="69"/>
      <c r="S48" s="69"/>
      <c r="T48" s="69"/>
      <c r="U48" s="17"/>
      <c r="V48" s="17"/>
    </row>
    <row r="49" spans="1:22" s="13" customFormat="1" ht="18.75" customHeight="1">
      <c r="A49" s="17"/>
      <c r="B49" s="65"/>
      <c r="C49" s="17">
        <v>2023</v>
      </c>
      <c r="D49" s="131">
        <f t="shared" si="1"/>
        <v>50</v>
      </c>
      <c r="E49" s="165"/>
      <c r="F49" s="165"/>
      <c r="G49" s="165"/>
      <c r="H49" s="165"/>
      <c r="I49" s="165"/>
      <c r="J49" s="165"/>
      <c r="K49" s="131"/>
      <c r="L49" s="131"/>
      <c r="M49" s="131"/>
      <c r="N49" s="131"/>
      <c r="O49" s="131">
        <v>50</v>
      </c>
      <c r="P49" s="69"/>
      <c r="Q49" s="69"/>
      <c r="R49" s="69"/>
      <c r="S49" s="69"/>
      <c r="T49" s="69"/>
      <c r="U49" s="17"/>
      <c r="V49" s="17"/>
    </row>
    <row r="50" spans="1:22" s="13" customFormat="1" ht="18.75" customHeight="1">
      <c r="A50" s="17"/>
      <c r="B50" s="65"/>
      <c r="C50" s="66">
        <v>2024</v>
      </c>
      <c r="D50" s="131">
        <f t="shared" si="1"/>
        <v>50</v>
      </c>
      <c r="E50" s="165"/>
      <c r="F50" s="165"/>
      <c r="G50" s="165"/>
      <c r="H50" s="165"/>
      <c r="I50" s="165"/>
      <c r="J50" s="165"/>
      <c r="K50" s="131"/>
      <c r="L50" s="131"/>
      <c r="M50" s="131"/>
      <c r="N50" s="131"/>
      <c r="O50" s="131">
        <v>50</v>
      </c>
      <c r="P50" s="69"/>
      <c r="Q50" s="69"/>
      <c r="R50" s="69"/>
      <c r="S50" s="69"/>
      <c r="T50" s="69"/>
      <c r="U50" s="170"/>
      <c r="V50" s="170"/>
    </row>
    <row r="51" spans="1:22" s="13" customFormat="1" ht="18.75" customHeight="1">
      <c r="A51" s="17" t="s">
        <v>308</v>
      </c>
      <c r="B51" s="17" t="s">
        <v>309</v>
      </c>
      <c r="C51" s="17">
        <v>2017</v>
      </c>
      <c r="D51" s="131">
        <f t="shared" si="1"/>
        <v>10</v>
      </c>
      <c r="E51" s="165"/>
      <c r="F51" s="165"/>
      <c r="G51" s="165"/>
      <c r="H51" s="165"/>
      <c r="I51" s="165"/>
      <c r="J51" s="165"/>
      <c r="K51" s="131"/>
      <c r="L51" s="131"/>
      <c r="M51" s="131"/>
      <c r="N51" s="131"/>
      <c r="O51" s="131">
        <v>10</v>
      </c>
      <c r="P51" s="69"/>
      <c r="Q51" s="69"/>
      <c r="R51" s="69"/>
      <c r="S51" s="69"/>
      <c r="T51" s="69"/>
      <c r="U51" s="17" t="s">
        <v>54</v>
      </c>
      <c r="V51" s="17" t="s">
        <v>310</v>
      </c>
    </row>
    <row r="52" spans="1:22" s="13" customFormat="1" ht="16.5" customHeight="1">
      <c r="A52" s="17"/>
      <c r="B52" s="17"/>
      <c r="C52" s="17">
        <v>2018</v>
      </c>
      <c r="D52" s="131">
        <v>10</v>
      </c>
      <c r="E52" s="165"/>
      <c r="F52" s="165"/>
      <c r="G52" s="165"/>
      <c r="H52" s="165"/>
      <c r="I52" s="165"/>
      <c r="J52" s="165"/>
      <c r="K52" s="165"/>
      <c r="L52" s="131"/>
      <c r="M52" s="131"/>
      <c r="N52" s="131"/>
      <c r="O52" s="131">
        <v>10</v>
      </c>
      <c r="P52" s="17"/>
      <c r="Q52" s="17"/>
      <c r="R52" s="17"/>
      <c r="S52" s="17"/>
      <c r="T52" s="17"/>
      <c r="U52" s="17"/>
      <c r="V52" s="17"/>
    </row>
    <row r="53" spans="1:22" s="13" customFormat="1" ht="14.25">
      <c r="A53" s="17"/>
      <c r="B53" s="17"/>
      <c r="C53" s="17">
        <v>2019</v>
      </c>
      <c r="D53" s="131">
        <f>O53</f>
        <v>0</v>
      </c>
      <c r="E53" s="165"/>
      <c r="F53" s="165"/>
      <c r="G53" s="165"/>
      <c r="H53" s="165"/>
      <c r="I53" s="165"/>
      <c r="J53" s="165"/>
      <c r="K53" s="165"/>
      <c r="L53" s="131"/>
      <c r="M53" s="131"/>
      <c r="N53" s="131"/>
      <c r="O53" s="131">
        <v>0</v>
      </c>
      <c r="P53" s="17"/>
      <c r="Q53" s="17"/>
      <c r="R53" s="17"/>
      <c r="S53" s="17"/>
      <c r="T53" s="17"/>
      <c r="U53" s="17"/>
      <c r="V53" s="17"/>
    </row>
    <row r="54" spans="1:22" s="13" customFormat="1" ht="21" customHeight="1">
      <c r="A54" s="17"/>
      <c r="B54" s="17"/>
      <c r="C54" s="17">
        <v>2020</v>
      </c>
      <c r="D54" s="131">
        <v>15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31">
        <v>0</v>
      </c>
      <c r="P54" s="17"/>
      <c r="Q54" s="17"/>
      <c r="R54" s="17"/>
      <c r="S54" s="17"/>
      <c r="T54" s="17"/>
      <c r="U54" s="17"/>
      <c r="V54" s="17"/>
    </row>
    <row r="55" spans="1:22" s="13" customFormat="1" ht="21" customHeight="1">
      <c r="A55" s="17"/>
      <c r="B55" s="17"/>
      <c r="C55" s="17">
        <v>2021</v>
      </c>
      <c r="D55" s="131">
        <f aca="true" t="shared" si="2" ref="D55:D58">O55</f>
        <v>0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31">
        <v>0</v>
      </c>
      <c r="P55" s="17"/>
      <c r="Q55" s="17"/>
      <c r="R55" s="17"/>
      <c r="S55" s="17"/>
      <c r="T55" s="17"/>
      <c r="U55" s="17"/>
      <c r="V55" s="17"/>
    </row>
    <row r="56" spans="1:22" s="13" customFormat="1" ht="21" customHeight="1">
      <c r="A56" s="17"/>
      <c r="B56" s="17"/>
      <c r="C56" s="17">
        <v>2022</v>
      </c>
      <c r="D56" s="131">
        <f t="shared" si="2"/>
        <v>0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31">
        <v>0</v>
      </c>
      <c r="P56" s="17"/>
      <c r="Q56" s="17"/>
      <c r="R56" s="17"/>
      <c r="S56" s="17"/>
      <c r="T56" s="17"/>
      <c r="U56" s="17"/>
      <c r="V56" s="17"/>
    </row>
    <row r="57" spans="1:22" s="13" customFormat="1" ht="21" customHeight="1">
      <c r="A57" s="17"/>
      <c r="B57" s="17"/>
      <c r="C57" s="17">
        <v>2023</v>
      </c>
      <c r="D57" s="131">
        <f t="shared" si="2"/>
        <v>0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31">
        <v>0</v>
      </c>
      <c r="P57" s="17"/>
      <c r="Q57" s="17"/>
      <c r="R57" s="17"/>
      <c r="S57" s="17"/>
      <c r="T57" s="17"/>
      <c r="U57" s="17"/>
      <c r="V57" s="17"/>
    </row>
    <row r="58" spans="1:22" s="13" customFormat="1" ht="21" customHeight="1" hidden="1">
      <c r="A58" s="17"/>
      <c r="B58" s="17"/>
      <c r="C58" s="178">
        <f>O58</f>
        <v>0</v>
      </c>
      <c r="D58" s="131">
        <f t="shared" si="2"/>
        <v>0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31">
        <v>0</v>
      </c>
      <c r="P58" s="17"/>
      <c r="Q58" s="17"/>
      <c r="R58" s="17"/>
      <c r="S58" s="17"/>
      <c r="T58" s="17"/>
      <c r="U58" s="179"/>
      <c r="V58" s="179"/>
    </row>
    <row r="59" spans="1:22" s="13" customFormat="1" ht="21" customHeight="1">
      <c r="A59" s="17" t="s">
        <v>311</v>
      </c>
      <c r="B59" s="17" t="s">
        <v>312</v>
      </c>
      <c r="C59" s="17">
        <v>2017</v>
      </c>
      <c r="D59" s="131">
        <v>0</v>
      </c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31">
        <v>0</v>
      </c>
      <c r="P59" s="17"/>
      <c r="Q59" s="17"/>
      <c r="R59" s="17"/>
      <c r="S59" s="17"/>
      <c r="T59" s="17"/>
      <c r="U59" s="179"/>
      <c r="V59" s="179"/>
    </row>
    <row r="60" spans="1:22" s="13" customFormat="1" ht="21" customHeight="1">
      <c r="A60" s="17"/>
      <c r="B60" s="17"/>
      <c r="C60" s="17">
        <v>2018</v>
      </c>
      <c r="D60" s="131">
        <v>0</v>
      </c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31">
        <v>0</v>
      </c>
      <c r="P60" s="17"/>
      <c r="Q60" s="17"/>
      <c r="R60" s="17"/>
      <c r="S60" s="17"/>
      <c r="T60" s="17"/>
      <c r="U60" s="179"/>
      <c r="V60" s="179"/>
    </row>
    <row r="61" spans="1:22" s="13" customFormat="1" ht="21" customHeight="1">
      <c r="A61" s="17"/>
      <c r="B61" s="17"/>
      <c r="C61" s="17">
        <v>2019</v>
      </c>
      <c r="D61" s="131">
        <v>0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31">
        <v>0</v>
      </c>
      <c r="P61" s="17"/>
      <c r="Q61" s="17"/>
      <c r="R61" s="17"/>
      <c r="S61" s="17"/>
      <c r="T61" s="17"/>
      <c r="U61" s="179"/>
      <c r="V61" s="179"/>
    </row>
    <row r="62" spans="1:22" s="13" customFormat="1" ht="21" customHeight="1">
      <c r="A62" s="17"/>
      <c r="B62" s="17"/>
      <c r="C62" s="17">
        <v>2020</v>
      </c>
      <c r="D62" s="131">
        <v>0</v>
      </c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31">
        <v>0</v>
      </c>
      <c r="P62" s="17"/>
      <c r="Q62" s="17"/>
      <c r="R62" s="17"/>
      <c r="S62" s="17"/>
      <c r="T62" s="17"/>
      <c r="U62" s="179"/>
      <c r="V62" s="179"/>
    </row>
    <row r="63" spans="1:22" s="13" customFormat="1" ht="21" customHeight="1">
      <c r="A63" s="17"/>
      <c r="B63" s="17"/>
      <c r="C63" s="17">
        <v>2021</v>
      </c>
      <c r="D63" s="131">
        <f aca="true" t="shared" si="3" ref="D63:D64">O63</f>
        <v>30</v>
      </c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31">
        <f>30</f>
        <v>30</v>
      </c>
      <c r="P63" s="17"/>
      <c r="Q63" s="17"/>
      <c r="R63" s="17"/>
      <c r="S63" s="17"/>
      <c r="T63" s="17"/>
      <c r="U63" s="179"/>
      <c r="V63" s="179"/>
    </row>
    <row r="64" spans="1:22" s="13" customFormat="1" ht="21" customHeight="1">
      <c r="A64" s="17"/>
      <c r="B64" s="17"/>
      <c r="C64" s="17">
        <v>2022</v>
      </c>
      <c r="D64" s="131">
        <f t="shared" si="3"/>
        <v>30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31">
        <v>30</v>
      </c>
      <c r="P64" s="17"/>
      <c r="Q64" s="17"/>
      <c r="R64" s="17"/>
      <c r="S64" s="17"/>
      <c r="T64" s="17"/>
      <c r="U64" s="179"/>
      <c r="V64" s="179"/>
    </row>
    <row r="65" spans="1:22" s="13" customFormat="1" ht="21" customHeight="1">
      <c r="A65" s="17"/>
      <c r="B65" s="17"/>
      <c r="C65" s="17">
        <v>2023</v>
      </c>
      <c r="D65" s="131">
        <v>0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31">
        <v>30</v>
      </c>
      <c r="P65" s="17"/>
      <c r="Q65" s="17"/>
      <c r="R65" s="17"/>
      <c r="S65" s="17"/>
      <c r="T65" s="17"/>
      <c r="U65" s="179"/>
      <c r="V65" s="179"/>
    </row>
    <row r="66" spans="1:22" s="13" customFormat="1" ht="21" customHeight="1">
      <c r="A66" s="17"/>
      <c r="B66" s="17"/>
      <c r="C66" s="66">
        <v>2024</v>
      </c>
      <c r="D66" s="131">
        <f aca="true" t="shared" si="4" ref="D66:D67">O66</f>
        <v>30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31">
        <v>30</v>
      </c>
      <c r="P66" s="17"/>
      <c r="Q66" s="17"/>
      <c r="R66" s="17"/>
      <c r="S66" s="17"/>
      <c r="T66" s="17"/>
      <c r="U66" s="179"/>
      <c r="V66" s="179"/>
    </row>
    <row r="67" spans="1:22" s="13" customFormat="1" ht="21" customHeight="1">
      <c r="A67" s="180" t="s">
        <v>313</v>
      </c>
      <c r="B67" s="180"/>
      <c r="C67" s="181">
        <v>2017</v>
      </c>
      <c r="D67" s="182">
        <f t="shared" si="4"/>
        <v>358.5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82">
        <f>O51+O43+O35+O26+O18+O79</f>
        <v>358.5</v>
      </c>
      <c r="P67" s="17"/>
      <c r="Q67" s="17"/>
      <c r="R67" s="17"/>
      <c r="S67" s="17"/>
      <c r="T67" s="17"/>
      <c r="U67" s="17"/>
      <c r="V67" s="17"/>
    </row>
    <row r="68" spans="1:22" s="13" customFormat="1" ht="21" customHeight="1">
      <c r="A68" s="180"/>
      <c r="B68" s="180"/>
      <c r="C68" s="181">
        <v>2018</v>
      </c>
      <c r="D68" s="182">
        <f>SUM(E68:O68)</f>
        <v>358.5</v>
      </c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2">
        <f>SUM(O19+O27+O36+O44+O52+O80)</f>
        <v>358.5</v>
      </c>
      <c r="P68" s="17"/>
      <c r="Q68" s="17"/>
      <c r="R68" s="17"/>
      <c r="S68" s="17"/>
      <c r="T68" s="17"/>
      <c r="U68" s="17"/>
      <c r="V68" s="17"/>
    </row>
    <row r="69" spans="1:22" s="13" customFormat="1" ht="21" customHeight="1">
      <c r="A69" s="180"/>
      <c r="B69" s="180"/>
      <c r="C69" s="181">
        <v>2019</v>
      </c>
      <c r="D69" s="182">
        <f>D53+D45+D37+D29+D20</f>
        <v>400</v>
      </c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2">
        <f>SUM(O20+O29+O37+O45+O53)</f>
        <v>400</v>
      </c>
      <c r="P69" s="17"/>
      <c r="Q69" s="17"/>
      <c r="R69" s="17"/>
      <c r="S69" s="17"/>
      <c r="T69" s="17"/>
      <c r="U69" s="17"/>
      <c r="V69" s="17"/>
    </row>
    <row r="70" spans="1:22" s="13" customFormat="1" ht="21" customHeight="1">
      <c r="A70" s="180"/>
      <c r="B70" s="180"/>
      <c r="C70" s="181">
        <v>2020</v>
      </c>
      <c r="D70" s="182">
        <f>SUM(E70:O70)</f>
        <v>399.1825</v>
      </c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2">
        <f>O54+O46+O38+O30+O21</f>
        <v>399.1825</v>
      </c>
      <c r="P70" s="17"/>
      <c r="Q70" s="17"/>
      <c r="R70" s="17"/>
      <c r="S70" s="17"/>
      <c r="T70" s="17"/>
      <c r="U70" s="17"/>
      <c r="V70" s="17"/>
    </row>
    <row r="71" spans="1:22" s="13" customFormat="1" ht="21" customHeight="1">
      <c r="A71" s="180"/>
      <c r="B71" s="180"/>
      <c r="C71" s="181">
        <v>2021</v>
      </c>
      <c r="D71" s="182">
        <f aca="true" t="shared" si="5" ref="D71:D74">O71</f>
        <v>400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2">
        <f aca="true" t="shared" si="6" ref="O71:O73">O55+O47+O39+O31+O22+O63</f>
        <v>400</v>
      </c>
      <c r="P71" s="17"/>
      <c r="Q71" s="17"/>
      <c r="R71" s="17"/>
      <c r="S71" s="17"/>
      <c r="T71" s="17"/>
      <c r="U71" s="17"/>
      <c r="V71" s="17"/>
    </row>
    <row r="72" spans="1:22" s="13" customFormat="1" ht="21" customHeight="1">
      <c r="A72" s="180"/>
      <c r="B72" s="180"/>
      <c r="C72" s="181">
        <v>2022</v>
      </c>
      <c r="D72" s="182">
        <f t="shared" si="5"/>
        <v>400</v>
      </c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2">
        <f t="shared" si="6"/>
        <v>400</v>
      </c>
      <c r="P72" s="17"/>
      <c r="Q72" s="17"/>
      <c r="R72" s="17"/>
      <c r="S72" s="17"/>
      <c r="T72" s="17"/>
      <c r="U72" s="17"/>
      <c r="V72" s="17"/>
    </row>
    <row r="73" spans="1:22" s="13" customFormat="1" ht="21" customHeight="1">
      <c r="A73" s="180"/>
      <c r="B73" s="180"/>
      <c r="C73" s="181">
        <v>2023</v>
      </c>
      <c r="D73" s="182">
        <f t="shared" si="5"/>
        <v>157.014</v>
      </c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2">
        <f t="shared" si="6"/>
        <v>157.014</v>
      </c>
      <c r="P73" s="17"/>
      <c r="Q73" s="17"/>
      <c r="R73" s="17"/>
      <c r="S73" s="17"/>
      <c r="T73" s="17"/>
      <c r="U73" s="17"/>
      <c r="V73" s="17"/>
    </row>
    <row r="74" spans="1:22" s="13" customFormat="1" ht="21" customHeight="1">
      <c r="A74" s="180"/>
      <c r="B74" s="180"/>
      <c r="C74" s="181">
        <v>2024</v>
      </c>
      <c r="D74" s="182">
        <f t="shared" si="5"/>
        <v>106.92699999999999</v>
      </c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2">
        <f>O66+O58+O50+O42+O34+O25</f>
        <v>106.92699999999999</v>
      </c>
      <c r="P74" s="17"/>
      <c r="Q74" s="17"/>
      <c r="R74" s="17"/>
      <c r="S74" s="17"/>
      <c r="T74" s="17"/>
      <c r="U74" s="17"/>
      <c r="V74" s="17"/>
    </row>
    <row r="75" spans="1:22" s="13" customFormat="1" ht="19.5" customHeight="1">
      <c r="A75" s="180"/>
      <c r="B75" s="180"/>
      <c r="C75" s="184" t="s">
        <v>314</v>
      </c>
      <c r="D75" s="182">
        <f>SUM(D67:D72)+D73+D74</f>
        <v>2580.1235</v>
      </c>
      <c r="E75" s="185">
        <f>SUM(E68:E70)</f>
        <v>0</v>
      </c>
      <c r="F75" s="186"/>
      <c r="G75" s="186"/>
      <c r="H75" s="186"/>
      <c r="I75" s="186"/>
      <c r="J75" s="186"/>
      <c r="K75" s="186"/>
      <c r="L75" s="186"/>
      <c r="M75" s="186"/>
      <c r="N75" s="182">
        <v>430</v>
      </c>
      <c r="O75" s="185">
        <f>SUM(O67:O74)</f>
        <v>2580.1235</v>
      </c>
      <c r="P75" s="187"/>
      <c r="Q75" s="187"/>
      <c r="R75" s="187"/>
      <c r="S75" s="187"/>
      <c r="T75" s="187"/>
      <c r="U75" s="187"/>
      <c r="V75" s="184"/>
    </row>
    <row r="76" spans="1:22" s="13" customFormat="1" ht="18.75" customHeight="1">
      <c r="A76" s="188" t="s">
        <v>100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</row>
    <row r="77" spans="1:22" s="13" customFormat="1" ht="33" customHeight="1">
      <c r="A77" s="189" t="s">
        <v>315</v>
      </c>
      <c r="B77" s="190" t="s">
        <v>316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s="13" customFormat="1" ht="18" customHeight="1" hidden="1">
      <c r="A78" s="189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</row>
    <row r="79" spans="1:22" s="13" customFormat="1" ht="33" customHeight="1">
      <c r="A79" s="17" t="s">
        <v>17</v>
      </c>
      <c r="B79" s="17" t="s">
        <v>317</v>
      </c>
      <c r="C79" s="176">
        <v>2017</v>
      </c>
      <c r="D79" s="191">
        <f aca="true" t="shared" si="7" ref="D79:D80">O79</f>
        <v>0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1">
        <v>0</v>
      </c>
      <c r="P79" s="17"/>
      <c r="Q79" s="17"/>
      <c r="R79" s="17"/>
      <c r="S79" s="17"/>
      <c r="T79" s="17"/>
      <c r="U79" s="156" t="s">
        <v>160</v>
      </c>
      <c r="V79" s="17" t="s">
        <v>318</v>
      </c>
    </row>
    <row r="80" spans="1:22" s="13" customFormat="1" ht="14.25">
      <c r="A80" s="17"/>
      <c r="B80" s="17"/>
      <c r="C80" s="176">
        <v>2018</v>
      </c>
      <c r="D80" s="191">
        <f t="shared" si="7"/>
        <v>0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3">
        <v>0</v>
      </c>
      <c r="P80" s="17"/>
      <c r="Q80" s="17"/>
      <c r="R80" s="17"/>
      <c r="S80" s="17"/>
      <c r="T80" s="17"/>
      <c r="U80" s="156"/>
      <c r="V80" s="17"/>
    </row>
    <row r="81" spans="1:22" s="13" customFormat="1" ht="14.25">
      <c r="A81" s="17"/>
      <c r="B81" s="17"/>
      <c r="C81" s="176">
        <v>2019</v>
      </c>
      <c r="D81" s="191">
        <f>I81+O81+H81</f>
        <v>4643.849999999999</v>
      </c>
      <c r="E81" s="192"/>
      <c r="F81" s="192">
        <v>5000</v>
      </c>
      <c r="G81" s="192">
        <f>H81</f>
        <v>4407.4</v>
      </c>
      <c r="H81" s="192">
        <v>4407.4</v>
      </c>
      <c r="I81" s="191">
        <v>0</v>
      </c>
      <c r="J81" s="192"/>
      <c r="K81" s="192"/>
      <c r="L81" s="192"/>
      <c r="M81" s="192"/>
      <c r="N81" s="192"/>
      <c r="O81" s="194">
        <f>4.5+231.95</f>
        <v>236.45</v>
      </c>
      <c r="P81" s="17"/>
      <c r="Q81" s="17"/>
      <c r="R81" s="17"/>
      <c r="S81" s="17"/>
      <c r="T81" s="17"/>
      <c r="U81" s="156"/>
      <c r="V81" s="17"/>
    </row>
    <row r="82" spans="1:22" s="13" customFormat="1" ht="14.25" customHeight="1">
      <c r="A82" s="17"/>
      <c r="B82" s="17"/>
      <c r="C82" s="176">
        <v>2020</v>
      </c>
      <c r="D82" s="191">
        <f>I82+O82</f>
        <v>0</v>
      </c>
      <c r="E82" s="192"/>
      <c r="F82" s="192">
        <v>4000</v>
      </c>
      <c r="G82" s="192"/>
      <c r="H82" s="192"/>
      <c r="I82" s="191">
        <v>0</v>
      </c>
      <c r="J82" s="192"/>
      <c r="K82" s="192"/>
      <c r="L82" s="192"/>
      <c r="M82" s="192"/>
      <c r="N82" s="192"/>
      <c r="O82" s="194">
        <v>0</v>
      </c>
      <c r="P82" s="17"/>
      <c r="Q82" s="17"/>
      <c r="R82" s="17"/>
      <c r="S82" s="17"/>
      <c r="T82" s="17"/>
      <c r="U82" s="156"/>
      <c r="V82" s="17"/>
    </row>
    <row r="83" spans="1:22" s="13" customFormat="1" ht="14.25" customHeight="1">
      <c r="A83" s="17"/>
      <c r="B83" s="17"/>
      <c r="C83" s="176">
        <v>2021</v>
      </c>
      <c r="D83" s="191">
        <f>I83</f>
        <v>0</v>
      </c>
      <c r="E83" s="192"/>
      <c r="F83" s="192"/>
      <c r="G83" s="192"/>
      <c r="H83" s="192"/>
      <c r="I83" s="191">
        <v>0</v>
      </c>
      <c r="J83" s="192"/>
      <c r="K83" s="192"/>
      <c r="L83" s="192"/>
      <c r="M83" s="192"/>
      <c r="N83" s="192"/>
      <c r="O83" s="194">
        <v>0</v>
      </c>
      <c r="P83" s="17"/>
      <c r="Q83" s="17"/>
      <c r="R83" s="17"/>
      <c r="S83" s="17"/>
      <c r="T83" s="17"/>
      <c r="U83" s="156"/>
      <c r="V83" s="17"/>
    </row>
    <row r="84" spans="1:22" s="13" customFormat="1" ht="14.25" customHeight="1">
      <c r="A84" s="17"/>
      <c r="B84" s="17"/>
      <c r="C84" s="176">
        <v>2022</v>
      </c>
      <c r="D84" s="191">
        <f aca="true" t="shared" si="8" ref="D84:D89">O84</f>
        <v>0</v>
      </c>
      <c r="E84" s="192"/>
      <c r="F84" s="192"/>
      <c r="G84" s="192"/>
      <c r="H84" s="192"/>
      <c r="I84" s="191"/>
      <c r="J84" s="192"/>
      <c r="K84" s="192"/>
      <c r="L84" s="192"/>
      <c r="M84" s="192"/>
      <c r="N84" s="192"/>
      <c r="O84" s="194">
        <v>0</v>
      </c>
      <c r="P84" s="17"/>
      <c r="Q84" s="17"/>
      <c r="R84" s="17"/>
      <c r="S84" s="17"/>
      <c r="T84" s="17"/>
      <c r="U84" s="156"/>
      <c r="V84" s="17"/>
    </row>
    <row r="85" spans="1:22" s="13" customFormat="1" ht="14.25" customHeight="1">
      <c r="A85" s="17"/>
      <c r="B85" s="17"/>
      <c r="C85" s="176">
        <v>2023</v>
      </c>
      <c r="D85" s="191">
        <f t="shared" si="8"/>
        <v>0</v>
      </c>
      <c r="E85" s="192"/>
      <c r="F85" s="192"/>
      <c r="G85" s="192"/>
      <c r="H85" s="192"/>
      <c r="I85" s="191"/>
      <c r="J85" s="192"/>
      <c r="K85" s="192"/>
      <c r="L85" s="192"/>
      <c r="M85" s="192"/>
      <c r="N85" s="192"/>
      <c r="O85" s="194"/>
      <c r="P85" s="17"/>
      <c r="Q85" s="17"/>
      <c r="R85" s="17"/>
      <c r="S85" s="17"/>
      <c r="T85" s="17"/>
      <c r="U85" s="156"/>
      <c r="V85" s="17"/>
    </row>
    <row r="86" spans="1:22" s="13" customFormat="1" ht="14.25" customHeight="1">
      <c r="A86" s="17" t="s">
        <v>319</v>
      </c>
      <c r="B86" s="17" t="s">
        <v>320</v>
      </c>
      <c r="C86" s="176">
        <v>2017</v>
      </c>
      <c r="D86" s="191">
        <f t="shared" si="8"/>
        <v>0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1">
        <v>0</v>
      </c>
      <c r="P86" s="17"/>
      <c r="Q86" s="17"/>
      <c r="R86" s="17"/>
      <c r="S86" s="17"/>
      <c r="T86" s="17"/>
      <c r="U86" s="156"/>
      <c r="V86" s="17"/>
    </row>
    <row r="87" spans="1:22" s="13" customFormat="1" ht="14.25" customHeight="1">
      <c r="A87" s="17"/>
      <c r="B87" s="17"/>
      <c r="C87" s="176">
        <v>2018</v>
      </c>
      <c r="D87" s="191">
        <f t="shared" si="8"/>
        <v>70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1">
        <v>70</v>
      </c>
      <c r="P87" s="17"/>
      <c r="Q87" s="17"/>
      <c r="R87" s="17"/>
      <c r="S87" s="17"/>
      <c r="T87" s="17"/>
      <c r="U87" s="156"/>
      <c r="V87" s="17"/>
    </row>
    <row r="88" spans="1:22" s="13" customFormat="1" ht="14.25" customHeight="1">
      <c r="A88" s="17"/>
      <c r="B88" s="17"/>
      <c r="C88" s="176">
        <v>2019</v>
      </c>
      <c r="D88" s="191">
        <f t="shared" si="8"/>
        <v>0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1">
        <v>0</v>
      </c>
      <c r="P88" s="17"/>
      <c r="Q88" s="17"/>
      <c r="R88" s="17"/>
      <c r="S88" s="17"/>
      <c r="T88" s="17"/>
      <c r="U88" s="156"/>
      <c r="V88" s="17"/>
    </row>
    <row r="89" spans="1:22" s="13" customFormat="1" ht="21.75" customHeight="1">
      <c r="A89" s="17"/>
      <c r="B89" s="17"/>
      <c r="C89" s="176">
        <v>2020</v>
      </c>
      <c r="D89" s="191">
        <f t="shared" si="8"/>
        <v>0</v>
      </c>
      <c r="E89" s="192"/>
      <c r="F89" s="192"/>
      <c r="G89" s="192"/>
      <c r="H89" s="192"/>
      <c r="I89" s="192">
        <v>0</v>
      </c>
      <c r="J89" s="192"/>
      <c r="K89" s="192"/>
      <c r="L89" s="192"/>
      <c r="M89" s="192"/>
      <c r="N89" s="192"/>
      <c r="O89" s="191">
        <v>0</v>
      </c>
      <c r="P89" s="17"/>
      <c r="Q89" s="17"/>
      <c r="R89" s="17"/>
      <c r="S89" s="17"/>
      <c r="T89" s="17"/>
      <c r="U89" s="156"/>
      <c r="V89" s="17"/>
    </row>
    <row r="90" spans="1:22" s="13" customFormat="1" ht="21.75" customHeight="1">
      <c r="A90" s="17"/>
      <c r="B90" s="17"/>
      <c r="C90" s="176">
        <v>2021</v>
      </c>
      <c r="D90" s="191">
        <f>I90</f>
        <v>0</v>
      </c>
      <c r="E90" s="192"/>
      <c r="F90" s="192"/>
      <c r="G90" s="192"/>
      <c r="H90" s="192"/>
      <c r="I90" s="192">
        <v>0</v>
      </c>
      <c r="J90" s="192"/>
      <c r="K90" s="192"/>
      <c r="L90" s="192"/>
      <c r="M90" s="192"/>
      <c r="N90" s="192"/>
      <c r="O90" s="191">
        <v>0</v>
      </c>
      <c r="P90" s="17"/>
      <c r="Q90" s="17"/>
      <c r="R90" s="17"/>
      <c r="S90" s="17"/>
      <c r="T90" s="17"/>
      <c r="U90" s="156"/>
      <c r="V90" s="17"/>
    </row>
    <row r="91" spans="1:22" s="13" customFormat="1" ht="21.75" customHeight="1">
      <c r="A91" s="17"/>
      <c r="B91" s="17"/>
      <c r="C91" s="176">
        <v>2022</v>
      </c>
      <c r="D91" s="191">
        <f aca="true" t="shared" si="9" ref="D91:D93">O91</f>
        <v>0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1">
        <v>0</v>
      </c>
      <c r="P91" s="17"/>
      <c r="Q91" s="17"/>
      <c r="R91" s="17"/>
      <c r="S91" s="17"/>
      <c r="T91" s="17"/>
      <c r="U91" s="156"/>
      <c r="V91" s="17"/>
    </row>
    <row r="92" spans="1:22" s="13" customFormat="1" ht="21.75" customHeight="1">
      <c r="A92" s="17"/>
      <c r="B92" s="17"/>
      <c r="C92" s="176">
        <v>2023</v>
      </c>
      <c r="D92" s="191">
        <f t="shared" si="9"/>
        <v>0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1"/>
      <c r="P92" s="17"/>
      <c r="Q92" s="17"/>
      <c r="R92" s="17"/>
      <c r="S92" s="17"/>
      <c r="T92" s="17"/>
      <c r="U92" s="156"/>
      <c r="V92" s="17"/>
    </row>
    <row r="93" spans="1:22" s="13" customFormat="1" ht="21.75" customHeight="1">
      <c r="A93" s="17" t="s">
        <v>321</v>
      </c>
      <c r="B93" s="17" t="s">
        <v>322</v>
      </c>
      <c r="C93" s="176">
        <v>2017</v>
      </c>
      <c r="D93" s="191">
        <f t="shared" si="9"/>
        <v>0</v>
      </c>
      <c r="E93" s="192"/>
      <c r="F93" s="192"/>
      <c r="G93" s="192"/>
      <c r="H93" s="192"/>
      <c r="I93" s="192">
        <v>0</v>
      </c>
      <c r="J93" s="192"/>
      <c r="K93" s="192"/>
      <c r="L93" s="192"/>
      <c r="M93" s="192"/>
      <c r="N93" s="192"/>
      <c r="O93" s="191">
        <v>0</v>
      </c>
      <c r="P93" s="17"/>
      <c r="Q93" s="17"/>
      <c r="R93" s="17"/>
      <c r="S93" s="17"/>
      <c r="T93" s="17"/>
      <c r="U93" s="156" t="s">
        <v>323</v>
      </c>
      <c r="V93" s="17" t="s">
        <v>324</v>
      </c>
    </row>
    <row r="94" spans="1:22" s="13" customFormat="1" ht="21.75" customHeight="1">
      <c r="A94" s="17"/>
      <c r="B94" s="17"/>
      <c r="C94" s="176">
        <v>2018</v>
      </c>
      <c r="D94" s="191">
        <f>I94</f>
        <v>0</v>
      </c>
      <c r="E94" s="192"/>
      <c r="F94" s="192"/>
      <c r="G94" s="192"/>
      <c r="H94" s="192"/>
      <c r="I94" s="192">
        <v>0</v>
      </c>
      <c r="J94" s="192"/>
      <c r="K94" s="192"/>
      <c r="L94" s="192"/>
      <c r="M94" s="192"/>
      <c r="N94" s="192"/>
      <c r="O94" s="191">
        <v>0</v>
      </c>
      <c r="P94" s="17"/>
      <c r="Q94" s="17"/>
      <c r="R94" s="17"/>
      <c r="S94" s="17"/>
      <c r="T94" s="17"/>
      <c r="U94" s="156"/>
      <c r="V94" s="17"/>
    </row>
    <row r="95" spans="1:22" s="13" customFormat="1" ht="21.75" customHeight="1">
      <c r="A95" s="17"/>
      <c r="B95" s="17"/>
      <c r="C95" s="176">
        <v>2019</v>
      </c>
      <c r="D95" s="191">
        <f>O95+I95</f>
        <v>347.235</v>
      </c>
      <c r="E95" s="192"/>
      <c r="F95" s="192"/>
      <c r="G95" s="192">
        <f>I95</f>
        <v>330.7</v>
      </c>
      <c r="H95" s="192"/>
      <c r="I95" s="192">
        <v>330.7</v>
      </c>
      <c r="J95" s="192"/>
      <c r="K95" s="192"/>
      <c r="L95" s="192"/>
      <c r="M95" s="192"/>
      <c r="N95" s="192"/>
      <c r="O95" s="191">
        <v>16.535</v>
      </c>
      <c r="P95" s="17"/>
      <c r="Q95" s="17"/>
      <c r="R95" s="17"/>
      <c r="S95" s="17"/>
      <c r="T95" s="17"/>
      <c r="U95" s="156"/>
      <c r="V95" s="17"/>
    </row>
    <row r="96" spans="1:22" s="13" customFormat="1" ht="21.75" customHeight="1">
      <c r="A96" s="17"/>
      <c r="B96" s="17"/>
      <c r="C96" s="176">
        <v>2020</v>
      </c>
      <c r="D96" s="191">
        <f>I96</f>
        <v>0</v>
      </c>
      <c r="E96" s="192"/>
      <c r="F96" s="192"/>
      <c r="G96" s="192"/>
      <c r="H96" s="192"/>
      <c r="I96" s="192">
        <v>0</v>
      </c>
      <c r="J96" s="192"/>
      <c r="K96" s="192"/>
      <c r="L96" s="192"/>
      <c r="M96" s="192"/>
      <c r="N96" s="192"/>
      <c r="O96" s="191">
        <v>0</v>
      </c>
      <c r="P96" s="17"/>
      <c r="Q96" s="17"/>
      <c r="R96" s="17"/>
      <c r="S96" s="17"/>
      <c r="T96" s="17"/>
      <c r="U96" s="156"/>
      <c r="V96" s="17"/>
    </row>
    <row r="97" spans="1:22" s="13" customFormat="1" ht="21.75" customHeight="1">
      <c r="A97" s="17"/>
      <c r="B97" s="17"/>
      <c r="C97" s="176">
        <v>2021</v>
      </c>
      <c r="D97" s="191">
        <f>O97</f>
        <v>0</v>
      </c>
      <c r="E97" s="192"/>
      <c r="F97" s="192"/>
      <c r="G97" s="192"/>
      <c r="H97" s="192"/>
      <c r="I97" s="192">
        <v>0</v>
      </c>
      <c r="J97" s="192"/>
      <c r="K97" s="192"/>
      <c r="L97" s="192"/>
      <c r="M97" s="192"/>
      <c r="N97" s="192"/>
      <c r="O97" s="191">
        <v>0</v>
      </c>
      <c r="P97" s="17"/>
      <c r="Q97" s="17"/>
      <c r="R97" s="17"/>
      <c r="S97" s="17"/>
      <c r="T97" s="17"/>
      <c r="U97" s="156"/>
      <c r="V97" s="17"/>
    </row>
    <row r="98" spans="1:22" s="13" customFormat="1" ht="21.75" customHeight="1">
      <c r="A98" s="17"/>
      <c r="B98" s="17"/>
      <c r="C98" s="176">
        <v>2022</v>
      </c>
      <c r="D98" s="191">
        <f>I98</f>
        <v>0</v>
      </c>
      <c r="E98" s="192"/>
      <c r="F98" s="192"/>
      <c r="G98" s="192"/>
      <c r="H98" s="192"/>
      <c r="I98" s="192">
        <v>0</v>
      </c>
      <c r="J98" s="192"/>
      <c r="K98" s="192"/>
      <c r="L98" s="192"/>
      <c r="M98" s="192"/>
      <c r="N98" s="192"/>
      <c r="O98" s="191">
        <v>0</v>
      </c>
      <c r="P98" s="17"/>
      <c r="Q98" s="17"/>
      <c r="R98" s="17"/>
      <c r="S98" s="17"/>
      <c r="T98" s="17"/>
      <c r="U98" s="156"/>
      <c r="V98" s="17"/>
    </row>
    <row r="99" spans="1:22" s="13" customFormat="1" ht="21.75" customHeight="1">
      <c r="A99" s="17"/>
      <c r="B99" s="17"/>
      <c r="C99" s="176">
        <v>2023</v>
      </c>
      <c r="D99" s="191">
        <f aca="true" t="shared" si="10" ref="D99:D100">O99</f>
        <v>0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1">
        <v>0</v>
      </c>
      <c r="P99" s="17"/>
      <c r="Q99" s="17"/>
      <c r="R99" s="17"/>
      <c r="S99" s="17"/>
      <c r="T99" s="17"/>
      <c r="U99" s="156"/>
      <c r="V99" s="17"/>
    </row>
    <row r="100" spans="1:22" s="13" customFormat="1" ht="21.75" customHeight="1">
      <c r="A100" s="17" t="s">
        <v>305</v>
      </c>
      <c r="B100" s="17" t="s">
        <v>325</v>
      </c>
      <c r="C100" s="176">
        <v>2017</v>
      </c>
      <c r="D100" s="191">
        <f t="shared" si="10"/>
        <v>0</v>
      </c>
      <c r="E100" s="192"/>
      <c r="F100" s="192"/>
      <c r="G100" s="192"/>
      <c r="H100" s="192"/>
      <c r="I100" s="192">
        <v>0</v>
      </c>
      <c r="J100" s="192"/>
      <c r="K100" s="192"/>
      <c r="L100" s="192"/>
      <c r="M100" s="192"/>
      <c r="N100" s="192"/>
      <c r="O100" s="191">
        <v>0</v>
      </c>
      <c r="P100" s="17"/>
      <c r="Q100" s="17"/>
      <c r="R100" s="17"/>
      <c r="S100" s="17"/>
      <c r="T100" s="17"/>
      <c r="U100" s="156"/>
      <c r="V100" s="17"/>
    </row>
    <row r="101" spans="1:22" s="13" customFormat="1" ht="21.75" customHeight="1">
      <c r="A101" s="17"/>
      <c r="B101" s="17"/>
      <c r="C101" s="176">
        <v>2018</v>
      </c>
      <c r="D101" s="191">
        <f>I101</f>
        <v>0</v>
      </c>
      <c r="E101" s="192"/>
      <c r="F101" s="192"/>
      <c r="G101" s="192"/>
      <c r="H101" s="192"/>
      <c r="I101" s="192">
        <v>0</v>
      </c>
      <c r="J101" s="192"/>
      <c r="K101" s="192"/>
      <c r="L101" s="192"/>
      <c r="M101" s="192"/>
      <c r="N101" s="192"/>
      <c r="O101" s="191">
        <v>0</v>
      </c>
      <c r="P101" s="17"/>
      <c r="Q101" s="17"/>
      <c r="R101" s="17"/>
      <c r="S101" s="17"/>
      <c r="T101" s="17"/>
      <c r="U101" s="156"/>
      <c r="V101" s="17"/>
    </row>
    <row r="102" spans="1:22" s="13" customFormat="1" ht="21.75" customHeight="1">
      <c r="A102" s="17"/>
      <c r="B102" s="17"/>
      <c r="C102" s="176">
        <v>2019</v>
      </c>
      <c r="D102" s="191">
        <f>O102</f>
        <v>0</v>
      </c>
      <c r="E102" s="192"/>
      <c r="F102" s="192"/>
      <c r="G102" s="192"/>
      <c r="H102" s="192"/>
      <c r="I102" s="192">
        <v>0</v>
      </c>
      <c r="J102" s="192"/>
      <c r="K102" s="192"/>
      <c r="L102" s="192"/>
      <c r="M102" s="192"/>
      <c r="N102" s="192"/>
      <c r="O102" s="191">
        <v>0</v>
      </c>
      <c r="P102" s="17"/>
      <c r="Q102" s="17"/>
      <c r="R102" s="17"/>
      <c r="S102" s="17"/>
      <c r="T102" s="17"/>
      <c r="U102" s="156"/>
      <c r="V102" s="17"/>
    </row>
    <row r="103" spans="1:22" s="13" customFormat="1" ht="21.75" customHeight="1">
      <c r="A103" s="17"/>
      <c r="B103" s="17"/>
      <c r="C103" s="176">
        <v>2020</v>
      </c>
      <c r="D103" s="191">
        <f>P103+O103+I103</f>
        <v>334.82800000000003</v>
      </c>
      <c r="E103" s="192"/>
      <c r="F103" s="192"/>
      <c r="G103" s="192">
        <f aca="true" t="shared" si="11" ref="G103:G106">I103</f>
        <v>291.3</v>
      </c>
      <c r="H103" s="192"/>
      <c r="I103" s="192">
        <v>291.3</v>
      </c>
      <c r="J103" s="192"/>
      <c r="K103" s="192"/>
      <c r="L103" s="192"/>
      <c r="M103" s="192"/>
      <c r="N103" s="192"/>
      <c r="O103" s="191">
        <v>43.528</v>
      </c>
      <c r="P103" s="17"/>
      <c r="Q103" s="17"/>
      <c r="R103" s="17"/>
      <c r="S103" s="17"/>
      <c r="T103" s="17"/>
      <c r="U103" s="156" t="s">
        <v>323</v>
      </c>
      <c r="V103" s="17"/>
    </row>
    <row r="104" spans="1:22" s="13" customFormat="1" ht="21.75" customHeight="1">
      <c r="A104" s="17"/>
      <c r="B104" s="17"/>
      <c r="C104" s="176">
        <v>2021</v>
      </c>
      <c r="D104" s="191">
        <f aca="true" t="shared" si="12" ref="D104:D105">I104+O104</f>
        <v>344.828</v>
      </c>
      <c r="E104" s="192"/>
      <c r="F104" s="192"/>
      <c r="G104" s="192">
        <f t="shared" si="11"/>
        <v>300</v>
      </c>
      <c r="H104" s="192"/>
      <c r="I104" s="192">
        <v>300</v>
      </c>
      <c r="J104" s="192"/>
      <c r="K104" s="192"/>
      <c r="L104" s="192"/>
      <c r="M104" s="192"/>
      <c r="N104" s="192"/>
      <c r="O104" s="191">
        <v>44.828</v>
      </c>
      <c r="P104" s="17"/>
      <c r="Q104" s="17"/>
      <c r="R104" s="17"/>
      <c r="S104" s="17"/>
      <c r="T104" s="17"/>
      <c r="U104" s="156"/>
      <c r="V104" s="17"/>
    </row>
    <row r="105" spans="1:22" s="13" customFormat="1" ht="21.75" customHeight="1">
      <c r="A105" s="17"/>
      <c r="B105" s="17"/>
      <c r="C105" s="176">
        <v>2022</v>
      </c>
      <c r="D105" s="191">
        <f t="shared" si="12"/>
        <v>0</v>
      </c>
      <c r="E105" s="192"/>
      <c r="F105" s="192"/>
      <c r="G105" s="192">
        <f t="shared" si="11"/>
        <v>0</v>
      </c>
      <c r="H105" s="192"/>
      <c r="I105" s="192">
        <v>0</v>
      </c>
      <c r="J105" s="192"/>
      <c r="K105" s="192"/>
      <c r="L105" s="192"/>
      <c r="M105" s="192"/>
      <c r="N105" s="192"/>
      <c r="O105" s="191">
        <v>0</v>
      </c>
      <c r="P105" s="17"/>
      <c r="Q105" s="17"/>
      <c r="R105" s="17"/>
      <c r="S105" s="17"/>
      <c r="T105" s="17"/>
      <c r="U105" s="156"/>
      <c r="V105" s="17"/>
    </row>
    <row r="106" spans="1:22" s="13" customFormat="1" ht="21.75" customHeight="1">
      <c r="A106" s="17"/>
      <c r="B106" s="17"/>
      <c r="C106" s="176">
        <v>2023</v>
      </c>
      <c r="D106" s="191">
        <f>O106+I106</f>
        <v>0</v>
      </c>
      <c r="E106" s="192"/>
      <c r="F106" s="192"/>
      <c r="G106" s="192">
        <f t="shared" si="11"/>
        <v>0</v>
      </c>
      <c r="H106" s="192"/>
      <c r="I106" s="192">
        <v>0</v>
      </c>
      <c r="J106" s="192"/>
      <c r="K106" s="192"/>
      <c r="L106" s="192"/>
      <c r="M106" s="192"/>
      <c r="N106" s="192"/>
      <c r="O106" s="191">
        <v>0</v>
      </c>
      <c r="P106" s="17"/>
      <c r="Q106" s="17"/>
      <c r="R106" s="17"/>
      <c r="S106" s="17"/>
      <c r="T106" s="17"/>
      <c r="U106" s="156"/>
      <c r="V106" s="17"/>
    </row>
    <row r="107" spans="1:22" s="13" customFormat="1" ht="21.75" customHeight="1">
      <c r="A107" s="17" t="s">
        <v>308</v>
      </c>
      <c r="B107" s="17" t="s">
        <v>326</v>
      </c>
      <c r="C107" s="176">
        <v>2017</v>
      </c>
      <c r="D107" s="191">
        <f>I107</f>
        <v>0</v>
      </c>
      <c r="E107" s="192"/>
      <c r="F107" s="192"/>
      <c r="G107" s="192"/>
      <c r="H107" s="192"/>
      <c r="I107" s="192">
        <v>0</v>
      </c>
      <c r="J107" s="192"/>
      <c r="K107" s="192"/>
      <c r="L107" s="192"/>
      <c r="M107" s="192"/>
      <c r="N107" s="192"/>
      <c r="O107" s="191">
        <v>0</v>
      </c>
      <c r="P107" s="17"/>
      <c r="Q107" s="17"/>
      <c r="R107" s="17"/>
      <c r="S107" s="17"/>
      <c r="T107" s="17"/>
      <c r="U107" s="156"/>
      <c r="V107" s="17"/>
    </row>
    <row r="108" spans="1:22" s="13" customFormat="1" ht="21.75" customHeight="1">
      <c r="A108" s="17"/>
      <c r="B108" s="17"/>
      <c r="C108" s="176">
        <v>2018</v>
      </c>
      <c r="D108" s="191">
        <f aca="true" t="shared" si="13" ref="D108:D109">O108</f>
        <v>0</v>
      </c>
      <c r="E108" s="192"/>
      <c r="F108" s="192"/>
      <c r="G108" s="192"/>
      <c r="H108" s="192"/>
      <c r="I108" s="192">
        <v>0</v>
      </c>
      <c r="J108" s="192"/>
      <c r="K108" s="192"/>
      <c r="L108" s="192"/>
      <c r="M108" s="192"/>
      <c r="N108" s="192"/>
      <c r="O108" s="191">
        <v>0</v>
      </c>
      <c r="P108" s="17"/>
      <c r="Q108" s="17"/>
      <c r="R108" s="17"/>
      <c r="S108" s="17"/>
      <c r="T108" s="17"/>
      <c r="U108" s="156"/>
      <c r="V108" s="17"/>
    </row>
    <row r="109" spans="1:22" s="13" customFormat="1" ht="21.75" customHeight="1">
      <c r="A109" s="17"/>
      <c r="B109" s="17"/>
      <c r="C109" s="176">
        <v>2019</v>
      </c>
      <c r="D109" s="191">
        <f t="shared" si="13"/>
        <v>0</v>
      </c>
      <c r="E109" s="192"/>
      <c r="F109" s="192"/>
      <c r="G109" s="192"/>
      <c r="H109" s="192"/>
      <c r="I109" s="192">
        <v>0</v>
      </c>
      <c r="J109" s="192"/>
      <c r="K109" s="192"/>
      <c r="L109" s="192"/>
      <c r="M109" s="192"/>
      <c r="N109" s="192"/>
      <c r="O109" s="191">
        <v>0</v>
      </c>
      <c r="P109" s="17"/>
      <c r="Q109" s="17"/>
      <c r="R109" s="17"/>
      <c r="S109" s="17"/>
      <c r="T109" s="17"/>
      <c r="U109" s="156"/>
      <c r="V109" s="17"/>
    </row>
    <row r="110" spans="1:22" s="13" customFormat="1" ht="21.75" customHeight="1">
      <c r="A110" s="17"/>
      <c r="B110" s="17"/>
      <c r="C110" s="176">
        <v>2020</v>
      </c>
      <c r="D110" s="191">
        <f>P110+I110+O110</f>
        <v>335.97700000000003</v>
      </c>
      <c r="E110" s="192"/>
      <c r="F110" s="192"/>
      <c r="G110" s="192">
        <f aca="true" t="shared" si="14" ref="G110:G111">I110</f>
        <v>292.3</v>
      </c>
      <c r="H110" s="192"/>
      <c r="I110" s="192">
        <v>292.3</v>
      </c>
      <c r="J110" s="192"/>
      <c r="K110" s="192"/>
      <c r="L110" s="192"/>
      <c r="M110" s="192"/>
      <c r="N110" s="192"/>
      <c r="O110" s="191">
        <v>43.677</v>
      </c>
      <c r="P110" s="17"/>
      <c r="Q110" s="17"/>
      <c r="R110" s="17"/>
      <c r="S110" s="17"/>
      <c r="T110" s="17"/>
      <c r="U110" s="156" t="s">
        <v>323</v>
      </c>
      <c r="V110" s="17"/>
    </row>
    <row r="111" spans="1:22" s="13" customFormat="1" ht="21.75" customHeight="1">
      <c r="A111" s="17"/>
      <c r="B111" s="17"/>
      <c r="C111" s="176">
        <v>2021</v>
      </c>
      <c r="D111" s="191">
        <f>I111+O111</f>
        <v>258.966</v>
      </c>
      <c r="E111" s="192"/>
      <c r="F111" s="192"/>
      <c r="G111" s="192">
        <f t="shared" si="14"/>
        <v>225.3</v>
      </c>
      <c r="H111" s="192"/>
      <c r="I111" s="192">
        <v>225.3</v>
      </c>
      <c r="J111" s="192"/>
      <c r="K111" s="192"/>
      <c r="L111" s="192"/>
      <c r="M111" s="192"/>
      <c r="N111" s="192"/>
      <c r="O111" s="191">
        <v>33.666</v>
      </c>
      <c r="P111" s="17"/>
      <c r="Q111" s="17"/>
      <c r="R111" s="17"/>
      <c r="S111" s="17"/>
      <c r="T111" s="17"/>
      <c r="U111" s="156"/>
      <c r="V111" s="17"/>
    </row>
    <row r="112" spans="1:22" s="13" customFormat="1" ht="21.75" customHeight="1">
      <c r="A112" s="17"/>
      <c r="B112" s="17"/>
      <c r="C112" s="176">
        <v>2022</v>
      </c>
      <c r="D112" s="191">
        <f>I112</f>
        <v>159</v>
      </c>
      <c r="E112" s="192"/>
      <c r="F112" s="192"/>
      <c r="G112" s="192"/>
      <c r="H112" s="192"/>
      <c r="I112" s="192">
        <v>159</v>
      </c>
      <c r="J112" s="192"/>
      <c r="K112" s="192"/>
      <c r="L112" s="192"/>
      <c r="M112" s="192"/>
      <c r="N112" s="192"/>
      <c r="O112" s="191">
        <v>23.759</v>
      </c>
      <c r="P112" s="17"/>
      <c r="Q112" s="17"/>
      <c r="R112" s="17"/>
      <c r="S112" s="17"/>
      <c r="T112" s="17"/>
      <c r="U112" s="156"/>
      <c r="V112" s="17"/>
    </row>
    <row r="113" spans="1:22" s="13" customFormat="1" ht="21.75" customHeight="1">
      <c r="A113" s="17"/>
      <c r="B113" s="17"/>
      <c r="C113" s="176">
        <v>2023</v>
      </c>
      <c r="D113" s="191">
        <f aca="true" t="shared" si="15" ref="D113:D114">I113+O113</f>
        <v>182.75900000000001</v>
      </c>
      <c r="E113" s="192"/>
      <c r="F113" s="192"/>
      <c r="G113" s="192"/>
      <c r="H113" s="192"/>
      <c r="I113" s="192">
        <v>159</v>
      </c>
      <c r="J113" s="192"/>
      <c r="K113" s="192"/>
      <c r="L113" s="192"/>
      <c r="M113" s="192"/>
      <c r="N113" s="192"/>
      <c r="O113" s="191">
        <v>23.759</v>
      </c>
      <c r="P113" s="17"/>
      <c r="Q113" s="17"/>
      <c r="R113" s="17"/>
      <c r="S113" s="17"/>
      <c r="T113" s="17"/>
      <c r="U113" s="156"/>
      <c r="V113" s="17"/>
    </row>
    <row r="114" spans="1:22" s="13" customFormat="1" ht="21.75" customHeight="1">
      <c r="A114" s="17"/>
      <c r="B114" s="17"/>
      <c r="C114" s="176">
        <v>2024</v>
      </c>
      <c r="D114" s="191">
        <f t="shared" si="15"/>
        <v>182.75900000000001</v>
      </c>
      <c r="E114" s="192"/>
      <c r="F114" s="192"/>
      <c r="G114" s="192"/>
      <c r="H114" s="192"/>
      <c r="I114" s="192">
        <v>159</v>
      </c>
      <c r="J114" s="192"/>
      <c r="K114" s="192"/>
      <c r="L114" s="192"/>
      <c r="M114" s="192"/>
      <c r="N114" s="192"/>
      <c r="O114" s="191">
        <v>23.759</v>
      </c>
      <c r="P114" s="17"/>
      <c r="Q114" s="17"/>
      <c r="R114" s="17"/>
      <c r="S114" s="17"/>
      <c r="T114" s="17"/>
      <c r="U114" s="195"/>
      <c r="V114" s="17"/>
    </row>
    <row r="115" spans="1:22" s="13" customFormat="1" ht="14.25" customHeight="1">
      <c r="A115" s="17"/>
      <c r="B115" s="196" t="s">
        <v>327</v>
      </c>
      <c r="C115" s="68">
        <v>2017</v>
      </c>
      <c r="D115" s="197">
        <f aca="true" t="shared" si="16" ref="D115:D116">O115</f>
        <v>0</v>
      </c>
      <c r="E115" s="192"/>
      <c r="F115" s="192"/>
      <c r="G115" s="192"/>
      <c r="H115" s="192"/>
      <c r="I115" s="192">
        <v>0</v>
      </c>
      <c r="J115" s="192"/>
      <c r="K115" s="192"/>
      <c r="L115" s="192"/>
      <c r="M115" s="192"/>
      <c r="N115" s="192"/>
      <c r="O115" s="197">
        <f>O79</f>
        <v>0</v>
      </c>
      <c r="P115" s="17"/>
      <c r="Q115" s="17"/>
      <c r="R115" s="17"/>
      <c r="S115" s="17"/>
      <c r="T115" s="17"/>
      <c r="U115" s="158"/>
      <c r="V115" s="69"/>
    </row>
    <row r="116" spans="1:22" s="13" customFormat="1" ht="14.25">
      <c r="A116" s="17"/>
      <c r="B116" s="196"/>
      <c r="C116" s="68">
        <v>2018</v>
      </c>
      <c r="D116" s="197">
        <f t="shared" si="16"/>
        <v>70</v>
      </c>
      <c r="E116" s="198"/>
      <c r="F116" s="198"/>
      <c r="G116" s="198"/>
      <c r="H116" s="198"/>
      <c r="I116" s="198">
        <v>0</v>
      </c>
      <c r="J116" s="198"/>
      <c r="K116" s="198"/>
      <c r="L116" s="198"/>
      <c r="M116" s="198"/>
      <c r="N116" s="198"/>
      <c r="O116" s="197">
        <f>O87</f>
        <v>70</v>
      </c>
      <c r="P116" s="17"/>
      <c r="Q116" s="17"/>
      <c r="R116" s="17"/>
      <c r="S116" s="17"/>
      <c r="T116" s="17"/>
      <c r="U116" s="158"/>
      <c r="V116" s="69"/>
    </row>
    <row r="117" spans="1:22" s="13" customFormat="1" ht="14.25">
      <c r="A117" s="17"/>
      <c r="B117" s="196"/>
      <c r="C117" s="68">
        <v>2019</v>
      </c>
      <c r="D117" s="197">
        <f>I117+O117+H117</f>
        <v>4991.084999999999</v>
      </c>
      <c r="E117" s="198"/>
      <c r="F117" s="198"/>
      <c r="G117" s="198">
        <f>G95+G81</f>
        <v>4738.099999999999</v>
      </c>
      <c r="H117" s="198">
        <f>H81</f>
        <v>4407.4</v>
      </c>
      <c r="I117" s="198">
        <f>I81+I95</f>
        <v>330.7</v>
      </c>
      <c r="J117" s="198"/>
      <c r="K117" s="198"/>
      <c r="L117" s="198"/>
      <c r="M117" s="198"/>
      <c r="N117" s="198"/>
      <c r="O117" s="197">
        <f>O81+O95</f>
        <v>252.98499999999999</v>
      </c>
      <c r="P117" s="17"/>
      <c r="Q117" s="17"/>
      <c r="R117" s="17"/>
      <c r="S117" s="17"/>
      <c r="T117" s="17"/>
      <c r="U117" s="158"/>
      <c r="V117" s="69"/>
    </row>
    <row r="118" spans="1:22" s="13" customFormat="1" ht="14.25">
      <c r="A118" s="17"/>
      <c r="B118" s="196"/>
      <c r="C118" s="68">
        <v>2020</v>
      </c>
      <c r="D118" s="197">
        <f>O118+I118</f>
        <v>670.8050000000001</v>
      </c>
      <c r="E118" s="198"/>
      <c r="F118" s="198"/>
      <c r="G118" s="198">
        <f aca="true" t="shared" si="17" ref="G118:G122">I118</f>
        <v>583.6</v>
      </c>
      <c r="H118" s="198"/>
      <c r="I118" s="198">
        <f aca="true" t="shared" si="18" ref="I118:I120">I110+I103</f>
        <v>583.6</v>
      </c>
      <c r="J118" s="198"/>
      <c r="K118" s="198"/>
      <c r="L118" s="198"/>
      <c r="M118" s="198"/>
      <c r="N118" s="198"/>
      <c r="O118" s="197">
        <f>O110+O103</f>
        <v>87.205</v>
      </c>
      <c r="P118" s="17"/>
      <c r="Q118" s="17"/>
      <c r="R118" s="17"/>
      <c r="S118" s="17"/>
      <c r="T118" s="17"/>
      <c r="U118" s="158"/>
      <c r="V118" s="69"/>
    </row>
    <row r="119" spans="1:22" s="13" customFormat="1" ht="14.25">
      <c r="A119" s="17"/>
      <c r="B119" s="196"/>
      <c r="C119" s="68">
        <v>2021</v>
      </c>
      <c r="D119" s="197">
        <f>I119+O119</f>
        <v>603.794</v>
      </c>
      <c r="E119" s="198"/>
      <c r="F119" s="198"/>
      <c r="G119" s="198">
        <f t="shared" si="17"/>
        <v>525.3</v>
      </c>
      <c r="H119" s="198"/>
      <c r="I119" s="198">
        <f t="shared" si="18"/>
        <v>525.3</v>
      </c>
      <c r="J119" s="198"/>
      <c r="K119" s="198"/>
      <c r="L119" s="198"/>
      <c r="M119" s="198"/>
      <c r="N119" s="198"/>
      <c r="O119" s="197">
        <f>0+O104+O111</f>
        <v>78.494</v>
      </c>
      <c r="P119" s="17"/>
      <c r="Q119" s="17"/>
      <c r="R119" s="17"/>
      <c r="S119" s="17"/>
      <c r="T119" s="17"/>
      <c r="U119" s="195"/>
      <c r="V119" s="179"/>
    </row>
    <row r="120" spans="1:22" s="13" customFormat="1" ht="14.25">
      <c r="A120" s="17"/>
      <c r="B120" s="196"/>
      <c r="C120" s="68">
        <v>2022</v>
      </c>
      <c r="D120" s="197">
        <f aca="true" t="shared" si="19" ref="D120:D122">O120+I120</f>
        <v>182.75900000000001</v>
      </c>
      <c r="E120" s="198"/>
      <c r="F120" s="198"/>
      <c r="G120" s="198">
        <f t="shared" si="17"/>
        <v>159</v>
      </c>
      <c r="H120" s="198"/>
      <c r="I120" s="198">
        <f t="shared" si="18"/>
        <v>159</v>
      </c>
      <c r="J120" s="198"/>
      <c r="K120" s="198"/>
      <c r="L120" s="198"/>
      <c r="M120" s="198"/>
      <c r="N120" s="198"/>
      <c r="O120" s="197">
        <f>O112</f>
        <v>23.759</v>
      </c>
      <c r="P120" s="17"/>
      <c r="Q120" s="17"/>
      <c r="R120" s="17"/>
      <c r="S120" s="17"/>
      <c r="T120" s="17"/>
      <c r="U120" s="195"/>
      <c r="V120" s="179"/>
    </row>
    <row r="121" spans="1:22" s="13" customFormat="1" ht="14.25">
      <c r="A121" s="17"/>
      <c r="B121" s="196"/>
      <c r="C121" s="68">
        <v>2023</v>
      </c>
      <c r="D121" s="197">
        <f t="shared" si="19"/>
        <v>182.75900000000001</v>
      </c>
      <c r="E121" s="198"/>
      <c r="F121" s="198"/>
      <c r="G121" s="198">
        <f t="shared" si="17"/>
        <v>159</v>
      </c>
      <c r="H121" s="198"/>
      <c r="I121" s="198">
        <f>I114</f>
        <v>159</v>
      </c>
      <c r="J121" s="198"/>
      <c r="K121" s="198"/>
      <c r="L121" s="198"/>
      <c r="M121" s="198"/>
      <c r="N121" s="198"/>
      <c r="O121" s="197">
        <f>O114</f>
        <v>23.759</v>
      </c>
      <c r="P121" s="17"/>
      <c r="Q121" s="17"/>
      <c r="R121" s="17"/>
      <c r="S121" s="17"/>
      <c r="T121" s="17"/>
      <c r="U121" s="195"/>
      <c r="V121" s="179"/>
    </row>
    <row r="122" spans="1:22" s="13" customFormat="1" ht="14.25">
      <c r="A122" s="199"/>
      <c r="B122" s="196"/>
      <c r="C122" s="68">
        <v>2024</v>
      </c>
      <c r="D122" s="197">
        <f t="shared" si="19"/>
        <v>182.75900000000001</v>
      </c>
      <c r="E122" s="198"/>
      <c r="F122" s="198"/>
      <c r="G122" s="198">
        <f t="shared" si="17"/>
        <v>159</v>
      </c>
      <c r="H122" s="198"/>
      <c r="I122" s="198">
        <f>I114</f>
        <v>159</v>
      </c>
      <c r="J122" s="200"/>
      <c r="K122" s="200"/>
      <c r="L122" s="200"/>
      <c r="M122" s="200"/>
      <c r="N122" s="200"/>
      <c r="O122" s="201">
        <f>O114</f>
        <v>23.759</v>
      </c>
      <c r="P122" s="202"/>
      <c r="Q122" s="202"/>
      <c r="R122" s="202"/>
      <c r="S122" s="202"/>
      <c r="T122" s="202"/>
      <c r="U122" s="203"/>
      <c r="V122" s="169"/>
    </row>
    <row r="123" spans="1:22" s="13" customFormat="1" ht="14.25">
      <c r="A123" s="199"/>
      <c r="B123" s="196"/>
      <c r="C123" s="68" t="s">
        <v>286</v>
      </c>
      <c r="D123" s="197">
        <f>SUM(D115:D121)</f>
        <v>6701.201999999999</v>
      </c>
      <c r="E123" s="198"/>
      <c r="F123" s="198"/>
      <c r="G123" s="198">
        <f>SUM(G115:G122)</f>
        <v>6324</v>
      </c>
      <c r="H123" s="198">
        <f>SUM(H115:H121)</f>
        <v>4407.4</v>
      </c>
      <c r="I123" s="198">
        <f>SUM(I115:I122)</f>
        <v>1916.6000000000001</v>
      </c>
      <c r="J123" s="200"/>
      <c r="K123" s="200"/>
      <c r="L123" s="200"/>
      <c r="M123" s="200"/>
      <c r="N123" s="200"/>
      <c r="O123" s="201">
        <f>SUM(O115:O122)</f>
        <v>559.961</v>
      </c>
      <c r="P123" s="202"/>
      <c r="Q123" s="202"/>
      <c r="R123" s="202"/>
      <c r="S123" s="202"/>
      <c r="T123" s="202"/>
      <c r="U123" s="203"/>
      <c r="V123" s="169"/>
    </row>
    <row r="124" spans="1:22" s="13" customFormat="1" ht="14.25" customHeight="1">
      <c r="A124" s="204" t="s">
        <v>328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</row>
    <row r="125" spans="1:22" s="13" customFormat="1" ht="30" customHeight="1">
      <c r="A125" s="79" t="s">
        <v>262</v>
      </c>
      <c r="B125" s="205" t="s">
        <v>329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</row>
    <row r="126" spans="1:22" s="13" customFormat="1" ht="14.25" customHeight="1">
      <c r="A126" s="17"/>
      <c r="B126" s="81" t="s">
        <v>268</v>
      </c>
      <c r="C126" s="67">
        <v>2017</v>
      </c>
      <c r="D126" s="178">
        <f>H126+I126+J126</f>
        <v>0</v>
      </c>
      <c r="E126" s="178">
        <v>0</v>
      </c>
      <c r="F126" s="178">
        <f aca="true" t="shared" si="20" ref="F126:F129">G126+H126</f>
        <v>0</v>
      </c>
      <c r="G126" s="178"/>
      <c r="H126" s="178">
        <v>0</v>
      </c>
      <c r="I126" s="178">
        <v>0</v>
      </c>
      <c r="J126" s="206">
        <v>0</v>
      </c>
      <c r="K126" s="207" t="s">
        <v>135</v>
      </c>
      <c r="L126" s="198"/>
      <c r="M126" s="198"/>
      <c r="N126" s="198"/>
      <c r="O126" s="197"/>
      <c r="P126" s="17"/>
      <c r="Q126" s="17"/>
      <c r="R126" s="17"/>
      <c r="S126" s="17"/>
      <c r="T126" s="17"/>
      <c r="U126" s="195"/>
      <c r="V126" s="179"/>
    </row>
    <row r="127" spans="1:22" s="13" customFormat="1" ht="14.25">
      <c r="A127" s="17"/>
      <c r="B127" s="81"/>
      <c r="C127" s="67">
        <v>2018</v>
      </c>
      <c r="D127" s="178">
        <f aca="true" t="shared" si="21" ref="D127:D129">I127</f>
        <v>0</v>
      </c>
      <c r="E127" s="178">
        <v>0</v>
      </c>
      <c r="F127" s="178">
        <f t="shared" si="20"/>
        <v>0</v>
      </c>
      <c r="G127" s="178"/>
      <c r="H127" s="178">
        <v>0</v>
      </c>
      <c r="I127" s="178">
        <v>0</v>
      </c>
      <c r="J127" s="208">
        <v>1732.15609</v>
      </c>
      <c r="K127" s="207"/>
      <c r="L127" s="198"/>
      <c r="M127" s="198"/>
      <c r="N127" s="198"/>
      <c r="O127" s="197"/>
      <c r="P127" s="17"/>
      <c r="Q127" s="17"/>
      <c r="R127" s="17"/>
      <c r="S127" s="17"/>
      <c r="T127" s="17"/>
      <c r="U127" s="195"/>
      <c r="V127" s="179"/>
    </row>
    <row r="128" spans="1:22" s="13" customFormat="1" ht="14.25">
      <c r="A128" s="17"/>
      <c r="B128" s="81"/>
      <c r="C128" s="67">
        <v>2019</v>
      </c>
      <c r="D128" s="178">
        <f t="shared" si="21"/>
        <v>0</v>
      </c>
      <c r="E128" s="178">
        <v>0</v>
      </c>
      <c r="F128" s="178">
        <f t="shared" si="20"/>
        <v>0</v>
      </c>
      <c r="G128" s="178"/>
      <c r="H128" s="178">
        <v>0</v>
      </c>
      <c r="I128" s="178">
        <v>0</v>
      </c>
      <c r="J128" s="208">
        <f>1926.5597+250</f>
        <v>2176.5597</v>
      </c>
      <c r="K128" s="207"/>
      <c r="L128" s="198"/>
      <c r="M128" s="198"/>
      <c r="N128" s="198"/>
      <c r="O128" s="197"/>
      <c r="P128" s="178"/>
      <c r="Q128" s="17"/>
      <c r="R128" s="17"/>
      <c r="S128" s="17"/>
      <c r="T128" s="17"/>
      <c r="U128" s="195"/>
      <c r="V128" s="179"/>
    </row>
    <row r="129" spans="1:22" s="13" customFormat="1" ht="14.25">
      <c r="A129" s="17"/>
      <c r="B129" s="81"/>
      <c r="C129" s="67">
        <v>2020</v>
      </c>
      <c r="D129" s="178">
        <f t="shared" si="21"/>
        <v>0</v>
      </c>
      <c r="E129" s="178">
        <v>0</v>
      </c>
      <c r="F129" s="178">
        <f t="shared" si="20"/>
        <v>0</v>
      </c>
      <c r="G129" s="178"/>
      <c r="H129" s="178">
        <v>0</v>
      </c>
      <c r="I129" s="178">
        <v>0</v>
      </c>
      <c r="J129" s="208">
        <f>2210.8002</f>
        <v>2210.8002</v>
      </c>
      <c r="K129" s="207"/>
      <c r="L129" s="198"/>
      <c r="M129" s="198"/>
      <c r="N129" s="198"/>
      <c r="O129" s="197"/>
      <c r="P129" s="17"/>
      <c r="Q129" s="17"/>
      <c r="R129" s="17"/>
      <c r="S129" s="17"/>
      <c r="T129" s="17"/>
      <c r="U129" s="195"/>
      <c r="V129" s="179"/>
    </row>
    <row r="130" spans="1:22" s="13" customFormat="1" ht="14.25">
      <c r="A130" s="17"/>
      <c r="B130" s="81"/>
      <c r="C130" s="67">
        <v>2021</v>
      </c>
      <c r="D130" s="178">
        <f>F130+I130+J130+O130+P130</f>
        <v>19137.06978</v>
      </c>
      <c r="E130" s="178">
        <v>0</v>
      </c>
      <c r="F130" s="178">
        <f aca="true" t="shared" si="22" ref="F130:F132">H130</f>
        <v>0</v>
      </c>
      <c r="G130" s="178">
        <f aca="true" t="shared" si="23" ref="G130:G133">I130</f>
        <v>568.35</v>
      </c>
      <c r="H130" s="178">
        <v>0</v>
      </c>
      <c r="I130" s="178">
        <v>568.35</v>
      </c>
      <c r="J130" s="208"/>
      <c r="K130" s="207"/>
      <c r="L130" s="198"/>
      <c r="M130" s="198"/>
      <c r="N130" s="198"/>
      <c r="O130" s="191">
        <f>16099.08921+234.56463-30.03406+65.1</f>
        <v>16368.719780000001</v>
      </c>
      <c r="P130" s="131">
        <v>2200</v>
      </c>
      <c r="Q130" s="17"/>
      <c r="R130" s="17"/>
      <c r="S130" s="17"/>
      <c r="T130" s="17"/>
      <c r="U130" s="195"/>
      <c r="V130" s="179"/>
    </row>
    <row r="131" spans="1:22" s="13" customFormat="1" ht="14.25" customHeight="1">
      <c r="A131" s="17"/>
      <c r="B131" s="81"/>
      <c r="C131" s="67">
        <v>2022</v>
      </c>
      <c r="D131" s="178">
        <f>G131+O131+P131</f>
        <v>20377.377</v>
      </c>
      <c r="E131" s="178">
        <v>0</v>
      </c>
      <c r="F131" s="178">
        <f t="shared" si="22"/>
        <v>0</v>
      </c>
      <c r="G131" s="178">
        <f t="shared" si="23"/>
        <v>641.5</v>
      </c>
      <c r="H131" s="178">
        <v>0</v>
      </c>
      <c r="I131" s="178">
        <v>641.5</v>
      </c>
      <c r="J131" s="178"/>
      <c r="K131" s="207"/>
      <c r="L131" s="198"/>
      <c r="M131" s="198"/>
      <c r="N131" s="198"/>
      <c r="O131" s="191">
        <v>17535.877</v>
      </c>
      <c r="P131" s="131">
        <v>2200</v>
      </c>
      <c r="Q131" s="17"/>
      <c r="R131" s="17"/>
      <c r="S131" s="17"/>
      <c r="T131" s="17"/>
      <c r="U131" s="156" t="s">
        <v>330</v>
      </c>
      <c r="V131" s="179"/>
    </row>
    <row r="132" spans="1:22" s="13" customFormat="1" ht="14.25">
      <c r="A132" s="17"/>
      <c r="B132" s="81"/>
      <c r="C132" s="67">
        <v>2023</v>
      </c>
      <c r="D132" s="178">
        <f>I132+O132+P132</f>
        <v>17855.729</v>
      </c>
      <c r="E132" s="178">
        <v>0</v>
      </c>
      <c r="F132" s="178">
        <f t="shared" si="22"/>
        <v>0</v>
      </c>
      <c r="G132" s="178">
        <f t="shared" si="23"/>
        <v>641.5</v>
      </c>
      <c r="H132" s="178">
        <v>0</v>
      </c>
      <c r="I132" s="178">
        <v>641.5</v>
      </c>
      <c r="J132" s="208"/>
      <c r="K132" s="207"/>
      <c r="L132" s="198"/>
      <c r="M132" s="198"/>
      <c r="N132" s="198"/>
      <c r="O132" s="191">
        <v>15014.229</v>
      </c>
      <c r="P132" s="131">
        <v>2200</v>
      </c>
      <c r="Q132" s="17"/>
      <c r="R132" s="17"/>
      <c r="S132" s="17"/>
      <c r="T132" s="17"/>
      <c r="U132" s="156"/>
      <c r="V132" s="179"/>
    </row>
    <row r="133" spans="1:22" s="13" customFormat="1" ht="14.25">
      <c r="A133" s="17"/>
      <c r="B133" s="81"/>
      <c r="C133" s="67">
        <v>2024</v>
      </c>
      <c r="D133" s="178">
        <f>G133+O133+P133</f>
        <v>17527.316</v>
      </c>
      <c r="E133" s="178">
        <v>0</v>
      </c>
      <c r="F133" s="178"/>
      <c r="G133" s="178">
        <f t="shared" si="23"/>
        <v>641.5</v>
      </c>
      <c r="H133" s="178">
        <v>0</v>
      </c>
      <c r="I133" s="178">
        <v>641.5</v>
      </c>
      <c r="J133" s="208"/>
      <c r="K133" s="207"/>
      <c r="L133" s="198"/>
      <c r="M133" s="198"/>
      <c r="N133" s="198"/>
      <c r="O133" s="191">
        <v>14685.816</v>
      </c>
      <c r="P133" s="131">
        <v>2200</v>
      </c>
      <c r="Q133" s="17"/>
      <c r="R133" s="17"/>
      <c r="S133" s="17"/>
      <c r="T133" s="17"/>
      <c r="U133" s="156"/>
      <c r="V133" s="179"/>
    </row>
    <row r="134" spans="1:22" s="13" customFormat="1" ht="15" customHeight="1">
      <c r="A134" s="17">
        <v>1</v>
      </c>
      <c r="B134" s="81" t="s">
        <v>331</v>
      </c>
      <c r="C134" s="67">
        <v>2017</v>
      </c>
      <c r="D134" s="178">
        <v>0</v>
      </c>
      <c r="E134" s="178">
        <v>0</v>
      </c>
      <c r="F134" s="178">
        <f aca="true" t="shared" si="24" ref="F134:F137">G134+H134</f>
        <v>0</v>
      </c>
      <c r="G134" s="178"/>
      <c r="H134" s="178">
        <v>0</v>
      </c>
      <c r="I134" s="178">
        <v>0</v>
      </c>
      <c r="J134" s="206">
        <v>0</v>
      </c>
      <c r="K134" s="207" t="s">
        <v>135</v>
      </c>
      <c r="L134" s="198"/>
      <c r="M134" s="198"/>
      <c r="N134" s="198"/>
      <c r="O134" s="178">
        <v>0</v>
      </c>
      <c r="P134" s="178">
        <v>0</v>
      </c>
      <c r="Q134" s="17"/>
      <c r="R134" s="17"/>
      <c r="S134" s="17"/>
      <c r="T134" s="17"/>
      <c r="U134" s="156"/>
      <c r="V134" s="179"/>
    </row>
    <row r="135" spans="1:22" s="13" customFormat="1" ht="14.25">
      <c r="A135" s="17"/>
      <c r="B135" s="81"/>
      <c r="C135" s="67">
        <v>2018</v>
      </c>
      <c r="D135" s="178">
        <f aca="true" t="shared" si="25" ref="D135:D137">I135</f>
        <v>0</v>
      </c>
      <c r="E135" s="178">
        <v>0</v>
      </c>
      <c r="F135" s="178">
        <f t="shared" si="24"/>
        <v>0</v>
      </c>
      <c r="G135" s="178"/>
      <c r="H135" s="178">
        <v>0</v>
      </c>
      <c r="I135" s="178">
        <v>0</v>
      </c>
      <c r="J135" s="208">
        <v>1732.15609</v>
      </c>
      <c r="K135" s="207"/>
      <c r="L135" s="198"/>
      <c r="M135" s="198"/>
      <c r="N135" s="198"/>
      <c r="O135" s="178">
        <v>0</v>
      </c>
      <c r="P135" s="178">
        <v>0</v>
      </c>
      <c r="Q135" s="17"/>
      <c r="R135" s="17"/>
      <c r="S135" s="17"/>
      <c r="T135" s="17"/>
      <c r="U135" s="195"/>
      <c r="V135" s="179"/>
    </row>
    <row r="136" spans="1:22" s="13" customFormat="1" ht="14.25">
      <c r="A136" s="17"/>
      <c r="B136" s="81"/>
      <c r="C136" s="67">
        <v>2019</v>
      </c>
      <c r="D136" s="178">
        <f t="shared" si="25"/>
        <v>0</v>
      </c>
      <c r="E136" s="178">
        <v>0</v>
      </c>
      <c r="F136" s="178">
        <f t="shared" si="24"/>
        <v>0</v>
      </c>
      <c r="G136" s="178"/>
      <c r="H136" s="178">
        <v>0</v>
      </c>
      <c r="I136" s="178">
        <v>0</v>
      </c>
      <c r="J136" s="208">
        <f>1926.5597+250</f>
        <v>2176.5597</v>
      </c>
      <c r="K136" s="207"/>
      <c r="L136" s="198"/>
      <c r="M136" s="198"/>
      <c r="N136" s="198"/>
      <c r="O136" s="178">
        <v>0</v>
      </c>
      <c r="P136" s="178">
        <v>0</v>
      </c>
      <c r="Q136" s="17"/>
      <c r="R136" s="17"/>
      <c r="S136" s="17"/>
      <c r="T136" s="17"/>
      <c r="U136" s="195"/>
      <c r="V136" s="179"/>
    </row>
    <row r="137" spans="1:22" s="13" customFormat="1" ht="14.25">
      <c r="A137" s="17"/>
      <c r="B137" s="81"/>
      <c r="C137" s="67">
        <v>2020</v>
      </c>
      <c r="D137" s="178">
        <f t="shared" si="25"/>
        <v>0</v>
      </c>
      <c r="E137" s="178">
        <v>0</v>
      </c>
      <c r="F137" s="178">
        <f t="shared" si="24"/>
        <v>0</v>
      </c>
      <c r="G137" s="178"/>
      <c r="H137" s="178">
        <v>0</v>
      </c>
      <c r="I137" s="178">
        <v>0</v>
      </c>
      <c r="J137" s="208">
        <f>2210.8002</f>
        <v>2210.8002</v>
      </c>
      <c r="K137" s="207"/>
      <c r="L137" s="198"/>
      <c r="M137" s="198"/>
      <c r="N137" s="198"/>
      <c r="O137" s="178">
        <v>0</v>
      </c>
      <c r="P137" s="178">
        <v>0</v>
      </c>
      <c r="Q137" s="17"/>
      <c r="R137" s="17"/>
      <c r="S137" s="17"/>
      <c r="T137" s="17"/>
      <c r="U137" s="195"/>
      <c r="V137" s="179"/>
    </row>
    <row r="138" spans="1:22" s="13" customFormat="1" ht="14.25" customHeight="1">
      <c r="A138" s="17"/>
      <c r="B138" s="81"/>
      <c r="C138" s="67">
        <v>2021</v>
      </c>
      <c r="D138" s="178">
        <f>G138+O138</f>
        <v>3348.5</v>
      </c>
      <c r="E138" s="178">
        <v>0</v>
      </c>
      <c r="F138" s="178">
        <f aca="true" t="shared" si="26" ref="F138:F140">H138</f>
        <v>3348.5</v>
      </c>
      <c r="G138" s="178">
        <v>3348.5</v>
      </c>
      <c r="H138" s="178">
        <v>3348.5</v>
      </c>
      <c r="I138" s="178">
        <v>0</v>
      </c>
      <c r="J138" s="208"/>
      <c r="K138" s="207"/>
      <c r="L138" s="198"/>
      <c r="M138" s="198"/>
      <c r="N138" s="198"/>
      <c r="O138" s="191">
        <v>0</v>
      </c>
      <c r="P138" s="191">
        <v>0</v>
      </c>
      <c r="Q138" s="17"/>
      <c r="R138" s="17"/>
      <c r="S138" s="17"/>
      <c r="T138" s="17"/>
      <c r="U138" s="156" t="s">
        <v>330</v>
      </c>
      <c r="V138" s="179"/>
    </row>
    <row r="139" spans="1:22" s="13" customFormat="1" ht="14.25">
      <c r="A139" s="17"/>
      <c r="B139" s="81"/>
      <c r="C139" s="67">
        <v>2022</v>
      </c>
      <c r="D139" s="178">
        <f aca="true" t="shared" si="27" ref="D139:D142">G139</f>
        <v>3188</v>
      </c>
      <c r="E139" s="178">
        <f aca="true" t="shared" si="28" ref="E139:E140">I139</f>
        <v>0</v>
      </c>
      <c r="F139" s="178">
        <f t="shared" si="26"/>
        <v>3188</v>
      </c>
      <c r="G139" s="178">
        <f aca="true" t="shared" si="29" ref="G139:G142">H139</f>
        <v>3188</v>
      </c>
      <c r="H139" s="178">
        <v>3188</v>
      </c>
      <c r="I139" s="178">
        <v>0</v>
      </c>
      <c r="J139" s="178"/>
      <c r="K139" s="207"/>
      <c r="L139" s="198"/>
      <c r="M139" s="198"/>
      <c r="N139" s="198"/>
      <c r="O139" s="191">
        <v>0</v>
      </c>
      <c r="P139" s="191">
        <v>0</v>
      </c>
      <c r="Q139" s="17"/>
      <c r="R139" s="17"/>
      <c r="S139" s="17"/>
      <c r="T139" s="17"/>
      <c r="U139" s="156"/>
      <c r="V139" s="179"/>
    </row>
    <row r="140" spans="1:22" s="13" customFormat="1" ht="14.25">
      <c r="A140" s="17"/>
      <c r="B140" s="81"/>
      <c r="C140" s="67">
        <v>2023</v>
      </c>
      <c r="D140" s="178">
        <f t="shared" si="27"/>
        <v>3188</v>
      </c>
      <c r="E140" s="178">
        <f t="shared" si="28"/>
        <v>0</v>
      </c>
      <c r="F140" s="178">
        <f t="shared" si="26"/>
        <v>3188</v>
      </c>
      <c r="G140" s="178">
        <f t="shared" si="29"/>
        <v>3188</v>
      </c>
      <c r="H140" s="178">
        <v>3188</v>
      </c>
      <c r="I140" s="178">
        <v>0</v>
      </c>
      <c r="J140" s="208"/>
      <c r="K140" s="207"/>
      <c r="L140" s="198"/>
      <c r="M140" s="198"/>
      <c r="N140" s="198"/>
      <c r="O140" s="191">
        <v>0</v>
      </c>
      <c r="P140" s="191"/>
      <c r="Q140" s="17"/>
      <c r="R140" s="17"/>
      <c r="S140" s="17"/>
      <c r="T140" s="17"/>
      <c r="U140" s="156"/>
      <c r="V140" s="179"/>
    </row>
    <row r="141" spans="1:22" s="13" customFormat="1" ht="15" customHeight="1" hidden="1">
      <c r="A141" s="17"/>
      <c r="B141" s="81"/>
      <c r="C141" s="68"/>
      <c r="D141" s="178">
        <f t="shared" si="27"/>
        <v>0</v>
      </c>
      <c r="E141" s="198"/>
      <c r="F141" s="198"/>
      <c r="G141" s="178">
        <f t="shared" si="29"/>
        <v>0</v>
      </c>
      <c r="H141" s="198"/>
      <c r="I141" s="198"/>
      <c r="J141" s="198"/>
      <c r="K141" s="198"/>
      <c r="L141" s="198"/>
      <c r="M141" s="198"/>
      <c r="N141" s="198"/>
      <c r="O141" s="197"/>
      <c r="P141" s="197"/>
      <c r="Q141" s="17"/>
      <c r="R141" s="17"/>
      <c r="S141" s="17"/>
      <c r="T141" s="17"/>
      <c r="U141" s="195"/>
      <c r="V141" s="179"/>
    </row>
    <row r="142" spans="1:22" s="13" customFormat="1" ht="14.25">
      <c r="A142" s="17"/>
      <c r="B142" s="81"/>
      <c r="C142" s="176">
        <v>2024</v>
      </c>
      <c r="D142" s="178">
        <f t="shared" si="27"/>
        <v>3188</v>
      </c>
      <c r="E142" s="193">
        <f>I142</f>
        <v>0</v>
      </c>
      <c r="F142" s="193"/>
      <c r="G142" s="178">
        <f t="shared" si="29"/>
        <v>3188</v>
      </c>
      <c r="H142" s="193">
        <v>3188</v>
      </c>
      <c r="I142" s="193">
        <v>0</v>
      </c>
      <c r="J142" s="198"/>
      <c r="K142" s="198"/>
      <c r="L142" s="198"/>
      <c r="M142" s="198"/>
      <c r="N142" s="198"/>
      <c r="O142" s="197">
        <v>0</v>
      </c>
      <c r="P142" s="197"/>
      <c r="Q142" s="17"/>
      <c r="R142" s="17"/>
      <c r="S142" s="17"/>
      <c r="T142" s="17"/>
      <c r="U142" s="195"/>
      <c r="V142" s="179"/>
    </row>
    <row r="143" spans="1:22" s="13" customFormat="1" ht="14.25" customHeight="1">
      <c r="A143" s="17">
        <v>2</v>
      </c>
      <c r="B143" s="181" t="s">
        <v>332</v>
      </c>
      <c r="C143" s="100">
        <v>2017</v>
      </c>
      <c r="D143" s="178">
        <f aca="true" t="shared" si="30" ref="D143:D146">G143+O143</f>
        <v>0</v>
      </c>
      <c r="E143" s="178">
        <v>0</v>
      </c>
      <c r="F143" s="198"/>
      <c r="G143" s="198"/>
      <c r="H143" s="178">
        <f aca="true" t="shared" si="31" ref="H143:H146">K143+S143</f>
        <v>0</v>
      </c>
      <c r="I143" s="178">
        <v>0</v>
      </c>
      <c r="J143" s="198"/>
      <c r="K143" s="198"/>
      <c r="L143" s="198"/>
      <c r="M143" s="198"/>
      <c r="N143" s="198"/>
      <c r="O143" s="191">
        <v>0</v>
      </c>
      <c r="P143" s="191">
        <v>0</v>
      </c>
      <c r="Q143" s="17"/>
      <c r="R143" s="17"/>
      <c r="S143" s="17"/>
      <c r="T143" s="17"/>
      <c r="U143" s="195"/>
      <c r="V143" s="179"/>
    </row>
    <row r="144" spans="1:22" s="13" customFormat="1" ht="14.25">
      <c r="A144" s="17"/>
      <c r="B144" s="181"/>
      <c r="C144" s="100">
        <v>2018</v>
      </c>
      <c r="D144" s="178">
        <f t="shared" si="30"/>
        <v>0</v>
      </c>
      <c r="E144" s="178">
        <v>0</v>
      </c>
      <c r="F144" s="198"/>
      <c r="G144" s="198"/>
      <c r="H144" s="178">
        <f t="shared" si="31"/>
        <v>0</v>
      </c>
      <c r="I144" s="178">
        <v>0</v>
      </c>
      <c r="J144" s="198"/>
      <c r="K144" s="198"/>
      <c r="L144" s="198"/>
      <c r="M144" s="198"/>
      <c r="N144" s="198"/>
      <c r="O144" s="191">
        <v>0</v>
      </c>
      <c r="P144" s="191">
        <v>0</v>
      </c>
      <c r="Q144" s="17"/>
      <c r="R144" s="17"/>
      <c r="S144" s="17"/>
      <c r="T144" s="17"/>
      <c r="U144" s="195"/>
      <c r="V144" s="179"/>
    </row>
    <row r="145" spans="1:22" s="13" customFormat="1" ht="14.25">
      <c r="A145" s="17"/>
      <c r="B145" s="181"/>
      <c r="C145" s="100">
        <v>2019</v>
      </c>
      <c r="D145" s="178">
        <f t="shared" si="30"/>
        <v>0</v>
      </c>
      <c r="E145" s="178">
        <v>0</v>
      </c>
      <c r="F145" s="198"/>
      <c r="G145" s="198"/>
      <c r="H145" s="178">
        <f t="shared" si="31"/>
        <v>0</v>
      </c>
      <c r="I145" s="178">
        <v>0</v>
      </c>
      <c r="J145" s="198"/>
      <c r="K145" s="198"/>
      <c r="L145" s="198"/>
      <c r="M145" s="198"/>
      <c r="N145" s="198"/>
      <c r="O145" s="191">
        <v>0</v>
      </c>
      <c r="P145" s="191">
        <v>0</v>
      </c>
      <c r="Q145" s="17"/>
      <c r="R145" s="17"/>
      <c r="S145" s="17"/>
      <c r="T145" s="17"/>
      <c r="U145" s="195"/>
      <c r="V145" s="179"/>
    </row>
    <row r="146" spans="1:22" s="13" customFormat="1" ht="14.25">
      <c r="A146" s="17"/>
      <c r="B146" s="181"/>
      <c r="C146" s="100">
        <v>2020</v>
      </c>
      <c r="D146" s="178">
        <f t="shared" si="30"/>
        <v>0</v>
      </c>
      <c r="E146" s="178">
        <v>0</v>
      </c>
      <c r="F146" s="198"/>
      <c r="G146" s="198"/>
      <c r="H146" s="178">
        <f t="shared" si="31"/>
        <v>0</v>
      </c>
      <c r="I146" s="178">
        <v>0</v>
      </c>
      <c r="J146" s="198"/>
      <c r="K146" s="198"/>
      <c r="L146" s="198"/>
      <c r="M146" s="198"/>
      <c r="N146" s="198"/>
      <c r="O146" s="191">
        <v>0</v>
      </c>
      <c r="P146" s="191">
        <v>0</v>
      </c>
      <c r="Q146" s="17"/>
      <c r="R146" s="17"/>
      <c r="S146" s="17"/>
      <c r="T146" s="17"/>
      <c r="U146" s="195"/>
      <c r="V146" s="179"/>
    </row>
    <row r="147" spans="1:22" s="13" customFormat="1" ht="14.25">
      <c r="A147" s="17"/>
      <c r="B147" s="181"/>
      <c r="C147" s="100">
        <v>2021</v>
      </c>
      <c r="D147" s="197">
        <f aca="true" t="shared" si="32" ref="D147:D150">G147+O147+P147</f>
        <v>22485.56978</v>
      </c>
      <c r="E147" s="198"/>
      <c r="F147" s="198"/>
      <c r="G147" s="198">
        <f>H147+I147</f>
        <v>3916.85</v>
      </c>
      <c r="H147" s="198">
        <f aca="true" t="shared" si="33" ref="H147:H149">H138</f>
        <v>3348.5</v>
      </c>
      <c r="I147" s="198">
        <f aca="true" t="shared" si="34" ref="I147:I149">I130+I138</f>
        <v>568.35</v>
      </c>
      <c r="J147" s="198"/>
      <c r="K147" s="198"/>
      <c r="L147" s="198"/>
      <c r="M147" s="198"/>
      <c r="N147" s="198"/>
      <c r="O147" s="197">
        <f aca="true" t="shared" si="35" ref="O147:O150">O130</f>
        <v>16368.719780000001</v>
      </c>
      <c r="P147" s="131">
        <f aca="true" t="shared" si="36" ref="P147:P150">P130</f>
        <v>2200</v>
      </c>
      <c r="Q147" s="17"/>
      <c r="R147" s="17"/>
      <c r="S147" s="17"/>
      <c r="T147" s="17"/>
      <c r="U147" s="195"/>
      <c r="V147" s="179"/>
    </row>
    <row r="148" spans="1:22" s="13" customFormat="1" ht="14.25">
      <c r="A148" s="17"/>
      <c r="B148" s="181"/>
      <c r="C148" s="100">
        <v>2022</v>
      </c>
      <c r="D148" s="197">
        <f t="shared" si="32"/>
        <v>23565.377</v>
      </c>
      <c r="E148" s="198"/>
      <c r="F148" s="198"/>
      <c r="G148" s="198">
        <f aca="true" t="shared" si="37" ref="G148:G150">I148+H148</f>
        <v>3829.5</v>
      </c>
      <c r="H148" s="198">
        <f t="shared" si="33"/>
        <v>3188</v>
      </c>
      <c r="I148" s="198">
        <f t="shared" si="34"/>
        <v>641.5</v>
      </c>
      <c r="J148" s="198"/>
      <c r="K148" s="198"/>
      <c r="L148" s="198"/>
      <c r="M148" s="198"/>
      <c r="N148" s="198"/>
      <c r="O148" s="197">
        <f t="shared" si="35"/>
        <v>17535.877</v>
      </c>
      <c r="P148" s="18">
        <f t="shared" si="36"/>
        <v>2200</v>
      </c>
      <c r="Q148" s="17"/>
      <c r="R148" s="17"/>
      <c r="S148" s="17"/>
      <c r="T148" s="17"/>
      <c r="U148" s="195"/>
      <c r="V148" s="179"/>
    </row>
    <row r="149" spans="1:22" s="13" customFormat="1" ht="14.25">
      <c r="A149" s="17"/>
      <c r="B149" s="181"/>
      <c r="C149" s="100">
        <v>2023</v>
      </c>
      <c r="D149" s="197">
        <f t="shared" si="32"/>
        <v>21043.729</v>
      </c>
      <c r="E149" s="198"/>
      <c r="F149" s="198"/>
      <c r="G149" s="198">
        <f t="shared" si="37"/>
        <v>3829.5</v>
      </c>
      <c r="H149" s="198">
        <f t="shared" si="33"/>
        <v>3188</v>
      </c>
      <c r="I149" s="198">
        <f t="shared" si="34"/>
        <v>641.5</v>
      </c>
      <c r="J149" s="198"/>
      <c r="K149" s="198"/>
      <c r="L149" s="198"/>
      <c r="M149" s="198"/>
      <c r="N149" s="198"/>
      <c r="O149" s="197">
        <f t="shared" si="35"/>
        <v>15014.229</v>
      </c>
      <c r="P149" s="18">
        <f t="shared" si="36"/>
        <v>2200</v>
      </c>
      <c r="Q149" s="17"/>
      <c r="R149" s="17"/>
      <c r="S149" s="17"/>
      <c r="T149" s="17"/>
      <c r="U149" s="195"/>
      <c r="V149" s="179"/>
    </row>
    <row r="150" spans="1:22" s="13" customFormat="1" ht="14.25">
      <c r="A150" s="17"/>
      <c r="B150" s="181"/>
      <c r="C150" s="100">
        <v>2024</v>
      </c>
      <c r="D150" s="197">
        <f t="shared" si="32"/>
        <v>20715.316</v>
      </c>
      <c r="E150" s="198"/>
      <c r="F150" s="198"/>
      <c r="G150" s="198">
        <f t="shared" si="37"/>
        <v>3829.5</v>
      </c>
      <c r="H150" s="198">
        <f>H142</f>
        <v>3188</v>
      </c>
      <c r="I150" s="198">
        <f>I142+I133</f>
        <v>641.5</v>
      </c>
      <c r="J150" s="198"/>
      <c r="K150" s="198"/>
      <c r="L150" s="198"/>
      <c r="M150" s="198"/>
      <c r="N150" s="198"/>
      <c r="O150" s="197">
        <f t="shared" si="35"/>
        <v>14685.816</v>
      </c>
      <c r="P150" s="18">
        <f t="shared" si="36"/>
        <v>2200</v>
      </c>
      <c r="Q150" s="17"/>
      <c r="R150" s="17"/>
      <c r="S150" s="17"/>
      <c r="T150" s="17"/>
      <c r="U150" s="195"/>
      <c r="V150" s="179"/>
    </row>
    <row r="151" spans="1:22" s="13" customFormat="1" ht="14.25">
      <c r="A151" s="17"/>
      <c r="B151" s="181"/>
      <c r="C151" s="100" t="s">
        <v>286</v>
      </c>
      <c r="D151" s="197">
        <f>SUM(D147:D149)</f>
        <v>67094.67578</v>
      </c>
      <c r="E151" s="198"/>
      <c r="F151" s="198"/>
      <c r="G151" s="198">
        <f>SUM(G147:G149)</f>
        <v>11575.85</v>
      </c>
      <c r="H151" s="198">
        <f>SUM(H147:H149)</f>
        <v>9724.5</v>
      </c>
      <c r="I151" s="198">
        <f>SUM(I147:I149)</f>
        <v>1851.35</v>
      </c>
      <c r="J151" s="198"/>
      <c r="K151" s="198"/>
      <c r="L151" s="198"/>
      <c r="M151" s="198"/>
      <c r="N151" s="198"/>
      <c r="O151" s="197">
        <f>SUM(O143:O150)</f>
        <v>63604.64178</v>
      </c>
      <c r="P151" s="97">
        <f>P150+P149+P148+P147</f>
        <v>8800</v>
      </c>
      <c r="Q151" s="17"/>
      <c r="R151" s="17"/>
      <c r="S151" s="17"/>
      <c r="T151" s="17"/>
      <c r="U151" s="195"/>
      <c r="V151" s="179"/>
    </row>
    <row r="152" spans="1:22" s="13" customFormat="1" ht="14.25" customHeight="1">
      <c r="A152" s="17"/>
      <c r="B152" s="181" t="s">
        <v>333</v>
      </c>
      <c r="C152" s="68">
        <v>2017</v>
      </c>
      <c r="D152" s="197">
        <f aca="true" t="shared" si="38" ref="D152:D153">O152</f>
        <v>358.5</v>
      </c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7">
        <f aca="true" t="shared" si="39" ref="O152:O155">O115+O67</f>
        <v>358.5</v>
      </c>
      <c r="P152" s="17"/>
      <c r="Q152" s="17"/>
      <c r="R152" s="17"/>
      <c r="S152" s="17"/>
      <c r="T152" s="17"/>
      <c r="U152" s="69"/>
      <c r="V152" s="17"/>
    </row>
    <row r="153" spans="1:22" s="13" customFormat="1" ht="14.25">
      <c r="A153" s="17"/>
      <c r="B153" s="181"/>
      <c r="C153" s="68">
        <v>2018</v>
      </c>
      <c r="D153" s="197">
        <f t="shared" si="38"/>
        <v>428.5</v>
      </c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7">
        <f t="shared" si="39"/>
        <v>428.5</v>
      </c>
      <c r="P153" s="17"/>
      <c r="Q153" s="17"/>
      <c r="R153" s="17"/>
      <c r="S153" s="17"/>
      <c r="T153" s="17"/>
      <c r="U153" s="69"/>
      <c r="V153" s="17"/>
    </row>
    <row r="154" spans="1:22" s="13" customFormat="1" ht="14.25">
      <c r="A154" s="17"/>
      <c r="B154" s="181"/>
      <c r="C154" s="68">
        <v>2019</v>
      </c>
      <c r="D154" s="197">
        <f>O154+I154+H154</f>
        <v>5391.084999999999</v>
      </c>
      <c r="E154" s="198"/>
      <c r="F154" s="198"/>
      <c r="G154" s="198">
        <f>H154+I154</f>
        <v>4738.099999999999</v>
      </c>
      <c r="H154" s="198">
        <f>H81</f>
        <v>4407.4</v>
      </c>
      <c r="I154" s="198">
        <f aca="true" t="shared" si="40" ref="I154:I155">I117</f>
        <v>330.7</v>
      </c>
      <c r="J154" s="198"/>
      <c r="K154" s="198"/>
      <c r="L154" s="198"/>
      <c r="M154" s="198"/>
      <c r="N154" s="198"/>
      <c r="O154" s="197">
        <f t="shared" si="39"/>
        <v>652.985</v>
      </c>
      <c r="P154" s="17"/>
      <c r="Q154" s="17"/>
      <c r="R154" s="17"/>
      <c r="S154" s="17"/>
      <c r="T154" s="17"/>
      <c r="U154" s="69"/>
      <c r="V154" s="17"/>
    </row>
    <row r="155" spans="1:22" s="13" customFormat="1" ht="14.25">
      <c r="A155" s="17"/>
      <c r="B155" s="181"/>
      <c r="C155" s="68">
        <v>2020</v>
      </c>
      <c r="D155" s="197">
        <f>O155+I155</f>
        <v>1069.9875</v>
      </c>
      <c r="E155" s="198"/>
      <c r="F155" s="198"/>
      <c r="G155" s="198">
        <f>I155</f>
        <v>583.6</v>
      </c>
      <c r="H155" s="198"/>
      <c r="I155" s="198">
        <f t="shared" si="40"/>
        <v>583.6</v>
      </c>
      <c r="J155" s="198"/>
      <c r="K155" s="198"/>
      <c r="L155" s="198"/>
      <c r="M155" s="198"/>
      <c r="N155" s="198"/>
      <c r="O155" s="197">
        <f t="shared" si="39"/>
        <v>486.3875</v>
      </c>
      <c r="P155" s="17"/>
      <c r="Q155" s="17"/>
      <c r="R155" s="17"/>
      <c r="S155" s="17"/>
      <c r="T155" s="17"/>
      <c r="U155" s="209"/>
      <c r="V155" s="17"/>
    </row>
    <row r="156" spans="1:22" s="13" customFormat="1" ht="14.25">
      <c r="A156" s="17"/>
      <c r="B156" s="181"/>
      <c r="C156" s="68">
        <v>2021</v>
      </c>
      <c r="D156" s="197">
        <f aca="true" t="shared" si="41" ref="D156:D160">G156+O156+P156</f>
        <v>23489.36378</v>
      </c>
      <c r="E156" s="198"/>
      <c r="F156" s="198"/>
      <c r="G156" s="198">
        <f>H156+I156</f>
        <v>4442.15</v>
      </c>
      <c r="H156" s="198">
        <f aca="true" t="shared" si="42" ref="H156:H159">H147</f>
        <v>3348.5</v>
      </c>
      <c r="I156" s="198">
        <f aca="true" t="shared" si="43" ref="I156:I157">I119+I147</f>
        <v>1093.65</v>
      </c>
      <c r="J156" s="198"/>
      <c r="K156" s="198"/>
      <c r="L156" s="198"/>
      <c r="M156" s="198"/>
      <c r="N156" s="198"/>
      <c r="O156" s="197">
        <f aca="true" t="shared" si="44" ref="O156:O158">O71+O119+O147</f>
        <v>16847.213780000002</v>
      </c>
      <c r="P156" s="17">
        <f aca="true" t="shared" si="45" ref="P156:P159">P147</f>
        <v>2200</v>
      </c>
      <c r="Q156" s="17"/>
      <c r="R156" s="17"/>
      <c r="S156" s="17"/>
      <c r="T156" s="17"/>
      <c r="U156" s="209"/>
      <c r="V156" s="17"/>
    </row>
    <row r="157" spans="1:22" s="13" customFormat="1" ht="14.25">
      <c r="A157" s="17"/>
      <c r="B157" s="181"/>
      <c r="C157" s="68">
        <v>2022</v>
      </c>
      <c r="D157" s="197">
        <f t="shared" si="41"/>
        <v>24148.136</v>
      </c>
      <c r="E157" s="198"/>
      <c r="F157" s="198"/>
      <c r="G157" s="210">
        <f aca="true" t="shared" si="46" ref="G157:G159">I157+H157</f>
        <v>3988.5</v>
      </c>
      <c r="H157" s="198">
        <f t="shared" si="42"/>
        <v>3188</v>
      </c>
      <c r="I157" s="198">
        <f t="shared" si="43"/>
        <v>800.5</v>
      </c>
      <c r="J157" s="198"/>
      <c r="K157" s="198"/>
      <c r="L157" s="198"/>
      <c r="M157" s="198"/>
      <c r="N157" s="198"/>
      <c r="O157" s="197">
        <f t="shared" si="44"/>
        <v>17959.636</v>
      </c>
      <c r="P157" s="18">
        <f t="shared" si="45"/>
        <v>2200</v>
      </c>
      <c r="Q157" s="17"/>
      <c r="R157" s="17"/>
      <c r="S157" s="17"/>
      <c r="T157" s="17"/>
      <c r="U157" s="209"/>
      <c r="V157" s="17"/>
    </row>
    <row r="158" spans="1:22" s="13" customFormat="1" ht="14.25">
      <c r="A158" s="17"/>
      <c r="B158" s="181"/>
      <c r="C158" s="68">
        <v>2023</v>
      </c>
      <c r="D158" s="197">
        <f t="shared" si="41"/>
        <v>21383.502</v>
      </c>
      <c r="E158" s="198"/>
      <c r="F158" s="198"/>
      <c r="G158" s="210">
        <f t="shared" si="46"/>
        <v>3988.5</v>
      </c>
      <c r="H158" s="198">
        <f t="shared" si="42"/>
        <v>3188</v>
      </c>
      <c r="I158" s="198">
        <f aca="true" t="shared" si="47" ref="I158:I159">I149+I121</f>
        <v>800.5</v>
      </c>
      <c r="J158" s="198"/>
      <c r="K158" s="198"/>
      <c r="L158" s="198"/>
      <c r="M158" s="198"/>
      <c r="N158" s="198"/>
      <c r="O158" s="197">
        <f t="shared" si="44"/>
        <v>15195.001999999999</v>
      </c>
      <c r="P158" s="18">
        <f t="shared" si="45"/>
        <v>2200</v>
      </c>
      <c r="Q158" s="17"/>
      <c r="R158" s="17"/>
      <c r="S158" s="17"/>
      <c r="T158" s="17"/>
      <c r="U158" s="209"/>
      <c r="V158" s="17"/>
    </row>
    <row r="159" spans="1:22" s="13" customFormat="1" ht="14.25">
      <c r="A159" s="17"/>
      <c r="B159" s="181"/>
      <c r="C159" s="68">
        <v>2024</v>
      </c>
      <c r="D159" s="197">
        <f t="shared" si="41"/>
        <v>21005.002</v>
      </c>
      <c r="E159" s="198"/>
      <c r="F159" s="198"/>
      <c r="G159" s="210">
        <f t="shared" si="46"/>
        <v>3988.5</v>
      </c>
      <c r="H159" s="198">
        <f t="shared" si="42"/>
        <v>3188</v>
      </c>
      <c r="I159" s="198">
        <f t="shared" si="47"/>
        <v>800.5</v>
      </c>
      <c r="J159" s="198"/>
      <c r="K159" s="198"/>
      <c r="L159" s="198"/>
      <c r="M159" s="198"/>
      <c r="N159" s="198"/>
      <c r="O159" s="197">
        <f>O150+O122+O74</f>
        <v>14816.502</v>
      </c>
      <c r="P159" s="18">
        <f t="shared" si="45"/>
        <v>2200</v>
      </c>
      <c r="Q159" s="17"/>
      <c r="R159" s="17"/>
      <c r="S159" s="17"/>
      <c r="T159" s="17"/>
      <c r="U159" s="209"/>
      <c r="V159" s="17"/>
    </row>
    <row r="160" spans="1:22" s="13" customFormat="1" ht="14.25">
      <c r="A160" s="17"/>
      <c r="B160" s="181"/>
      <c r="C160" s="211" t="s">
        <v>286</v>
      </c>
      <c r="D160" s="212">
        <f t="shared" si="41"/>
        <v>97274.07628000001</v>
      </c>
      <c r="E160" s="194"/>
      <c r="F160" s="194"/>
      <c r="G160" s="212">
        <f>SUM(G152:G159)</f>
        <v>21729.35</v>
      </c>
      <c r="H160" s="212">
        <f>SUM(H152:H159)</f>
        <v>17319.9</v>
      </c>
      <c r="I160" s="212">
        <f>SUM(I152:I159)</f>
        <v>4409.45</v>
      </c>
      <c r="J160" s="194"/>
      <c r="K160" s="194"/>
      <c r="L160" s="194"/>
      <c r="M160" s="194"/>
      <c r="N160" s="194"/>
      <c r="O160" s="212">
        <f>SUM(O152:O159)</f>
        <v>66744.72628</v>
      </c>
      <c r="P160" s="213">
        <f>P159+P158+P157+P156</f>
        <v>8800</v>
      </c>
      <c r="Q160" s="214"/>
      <c r="R160" s="214"/>
      <c r="S160" s="214"/>
      <c r="T160" s="214"/>
      <c r="U160" s="214"/>
      <c r="V160" s="214"/>
    </row>
    <row r="161" spans="3:15" s="13" customFormat="1" ht="14.25">
      <c r="C161" s="215"/>
      <c r="O161" s="216"/>
    </row>
    <row r="162" s="13" customFormat="1" ht="14.25"/>
    <row r="163" s="13" customFormat="1" ht="14.25"/>
  </sheetData>
  <sheetProtection selectLockedCells="1" selectUnlockedCells="1"/>
  <mergeCells count="94">
    <mergeCell ref="B2:L2"/>
    <mergeCell ref="P2:V2"/>
    <mergeCell ref="B3:L3"/>
    <mergeCell ref="P3:V3"/>
    <mergeCell ref="K4:L4"/>
    <mergeCell ref="P4:V4"/>
    <mergeCell ref="K5:L5"/>
    <mergeCell ref="A9:A13"/>
    <mergeCell ref="B9:B13"/>
    <mergeCell ref="C9:C13"/>
    <mergeCell ref="D9:D13"/>
    <mergeCell ref="E9:O9"/>
    <mergeCell ref="P9:P13"/>
    <mergeCell ref="U9:U13"/>
    <mergeCell ref="V9:V13"/>
    <mergeCell ref="E10:E13"/>
    <mergeCell ref="G10:O10"/>
    <mergeCell ref="G11:J11"/>
    <mergeCell ref="O11:O13"/>
    <mergeCell ref="G12:G13"/>
    <mergeCell ref="H12:I12"/>
    <mergeCell ref="Q14:U14"/>
    <mergeCell ref="A15:V15"/>
    <mergeCell ref="A16:V16"/>
    <mergeCell ref="A17:V17"/>
    <mergeCell ref="A18:A25"/>
    <mergeCell ref="B18:B25"/>
    <mergeCell ref="U18:U24"/>
    <mergeCell ref="V18:V24"/>
    <mergeCell ref="J21:N21"/>
    <mergeCell ref="A26:A34"/>
    <mergeCell ref="B26:B34"/>
    <mergeCell ref="S26:U33"/>
    <mergeCell ref="V26:V33"/>
    <mergeCell ref="C27:C28"/>
    <mergeCell ref="D27:D28"/>
    <mergeCell ref="O27:O28"/>
    <mergeCell ref="P27:P28"/>
    <mergeCell ref="A35:A42"/>
    <mergeCell ref="B35:B42"/>
    <mergeCell ref="T35:U41"/>
    <mergeCell ref="V35:V41"/>
    <mergeCell ref="A43:A50"/>
    <mergeCell ref="B43:B50"/>
    <mergeCell ref="U43:U49"/>
    <mergeCell ref="V43:V49"/>
    <mergeCell ref="K44:N44"/>
    <mergeCell ref="K45:N45"/>
    <mergeCell ref="K46:N46"/>
    <mergeCell ref="A51:A58"/>
    <mergeCell ref="B51:B58"/>
    <mergeCell ref="U51:U57"/>
    <mergeCell ref="V51:V57"/>
    <mergeCell ref="L52:N52"/>
    <mergeCell ref="P52:T54"/>
    <mergeCell ref="L53:N53"/>
    <mergeCell ref="A59:A66"/>
    <mergeCell ref="B59:B66"/>
    <mergeCell ref="A67:B75"/>
    <mergeCell ref="A76:V76"/>
    <mergeCell ref="A77:A78"/>
    <mergeCell ref="B77:V78"/>
    <mergeCell ref="A79:A85"/>
    <mergeCell ref="B79:B85"/>
    <mergeCell ref="U79:U91"/>
    <mergeCell ref="V79:V91"/>
    <mergeCell ref="A86:A92"/>
    <mergeCell ref="B86:B92"/>
    <mergeCell ref="A93:A99"/>
    <mergeCell ref="B93:B99"/>
    <mergeCell ref="U93:U98"/>
    <mergeCell ref="V93:V98"/>
    <mergeCell ref="A100:A106"/>
    <mergeCell ref="B100:B106"/>
    <mergeCell ref="U103:U106"/>
    <mergeCell ref="A107:A114"/>
    <mergeCell ref="B107:B114"/>
    <mergeCell ref="U110:U113"/>
    <mergeCell ref="A115:A121"/>
    <mergeCell ref="B115:B123"/>
    <mergeCell ref="A124:V124"/>
    <mergeCell ref="B125:V125"/>
    <mergeCell ref="A126:A133"/>
    <mergeCell ref="B126:B133"/>
    <mergeCell ref="K126:K132"/>
    <mergeCell ref="U131:U134"/>
    <mergeCell ref="A134:A142"/>
    <mergeCell ref="B134:B142"/>
    <mergeCell ref="K134:K140"/>
    <mergeCell ref="U138:U140"/>
    <mergeCell ref="A143:A151"/>
    <mergeCell ref="B143:B151"/>
    <mergeCell ref="A152:A160"/>
    <mergeCell ref="B152:B160"/>
  </mergeCells>
  <printOptions/>
  <pageMargins left="0.7083333333333334" right="0.7083333333333334" top="0.15763888888888888" bottom="0.15763888888888888" header="0.5118055555555555" footer="0.5118055555555555"/>
  <pageSetup fitToHeight="3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5"/>
  <sheetViews>
    <sheetView zoomScale="80" zoomScaleNormal="80" workbookViewId="0" topLeftCell="B1">
      <selection activeCell="B2" sqref="B2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="13" customFormat="1" ht="14.25">
      <c r="M1" s="217"/>
    </row>
    <row r="2" spans="1:13" s="13" customFormat="1" ht="15">
      <c r="A2" s="218"/>
      <c r="B2" s="219" t="s">
        <v>334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3" customFormat="1" ht="15" customHeight="1">
      <c r="A3" s="218"/>
      <c r="B3" s="220"/>
      <c r="C3" s="220"/>
      <c r="D3" s="220"/>
      <c r="E3" s="220"/>
      <c r="F3" s="220"/>
      <c r="G3" s="220"/>
      <c r="H3" s="220"/>
      <c r="I3" s="220"/>
      <c r="J3" s="220"/>
      <c r="K3" s="219" t="s">
        <v>335</v>
      </c>
      <c r="L3" s="219"/>
      <c r="M3" s="219"/>
    </row>
    <row r="4" spans="1:13" s="13" customFormat="1" ht="19.5" customHeight="1">
      <c r="A4" s="220"/>
      <c r="B4" s="221"/>
      <c r="C4" s="221"/>
      <c r="D4" s="221"/>
      <c r="E4" s="221"/>
      <c r="F4" s="221"/>
      <c r="G4" s="221"/>
      <c r="H4" s="221"/>
      <c r="I4" s="221"/>
      <c r="J4" s="220"/>
      <c r="K4" s="219" t="s">
        <v>336</v>
      </c>
      <c r="L4" s="219"/>
      <c r="M4" s="219"/>
    </row>
    <row r="5" spans="1:13" s="13" customFormat="1" ht="16.5" customHeight="1">
      <c r="A5" s="220"/>
      <c r="B5" s="218"/>
      <c r="C5" s="218"/>
      <c r="D5" s="218"/>
      <c r="E5" s="222"/>
      <c r="F5" s="222"/>
      <c r="G5" s="222"/>
      <c r="H5" s="218"/>
      <c r="I5" s="223"/>
      <c r="J5" s="218"/>
      <c r="K5" s="221"/>
      <c r="L5" s="219" t="s">
        <v>337</v>
      </c>
      <c r="M5" s="219"/>
    </row>
    <row r="6" spans="1:13" s="13" customFormat="1" ht="16.5" customHeight="1">
      <c r="A6" s="220"/>
      <c r="B6" s="218"/>
      <c r="C6" s="218"/>
      <c r="D6" s="218"/>
      <c r="E6" s="222"/>
      <c r="F6" s="222"/>
      <c r="G6" s="222"/>
      <c r="H6" s="218"/>
      <c r="I6" s="223"/>
      <c r="J6" s="218"/>
      <c r="K6" s="218"/>
      <c r="L6" s="221"/>
      <c r="M6" s="221"/>
    </row>
    <row r="7" spans="1:13" s="13" customFormat="1" ht="1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s="13" customFormat="1" ht="15" customHeight="1">
      <c r="A8" s="225" t="s">
        <v>338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3" s="13" customFormat="1" ht="21.75" customHeight="1">
      <c r="A9" s="189" t="s">
        <v>2</v>
      </c>
      <c r="B9" s="189" t="s">
        <v>339</v>
      </c>
      <c r="C9" s="189" t="s">
        <v>4</v>
      </c>
      <c r="D9" s="189" t="s">
        <v>340</v>
      </c>
      <c r="E9" s="189" t="s">
        <v>341</v>
      </c>
      <c r="F9" s="189"/>
      <c r="G9" s="189"/>
      <c r="H9" s="189"/>
      <c r="I9" s="189"/>
      <c r="J9" s="226" t="s">
        <v>41</v>
      </c>
      <c r="K9" s="189" t="s">
        <v>342</v>
      </c>
      <c r="L9" s="189"/>
      <c r="M9" s="189" t="s">
        <v>343</v>
      </c>
    </row>
    <row r="10" spans="1:13" s="13" customFormat="1" ht="1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226"/>
      <c r="K10" s="189"/>
      <c r="L10" s="189"/>
      <c r="M10" s="189"/>
    </row>
    <row r="11" spans="1:13" s="13" customFormat="1" ht="30" customHeight="1">
      <c r="A11" s="189"/>
      <c r="B11" s="189"/>
      <c r="C11" s="189"/>
      <c r="D11" s="189"/>
      <c r="E11" s="189" t="s">
        <v>44</v>
      </c>
      <c r="F11" s="189" t="s">
        <v>10</v>
      </c>
      <c r="G11" s="189"/>
      <c r="H11" s="189"/>
      <c r="I11" s="189"/>
      <c r="J11" s="226"/>
      <c r="K11" s="189"/>
      <c r="L11" s="189"/>
      <c r="M11" s="189"/>
    </row>
    <row r="12" spans="1:13" s="13" customFormat="1" ht="15" customHeight="1">
      <c r="A12" s="189"/>
      <c r="B12" s="189"/>
      <c r="C12" s="189"/>
      <c r="D12" s="189"/>
      <c r="E12" s="189"/>
      <c r="F12" s="189" t="s">
        <v>344</v>
      </c>
      <c r="G12" s="189"/>
      <c r="H12" s="189"/>
      <c r="I12" s="189" t="s">
        <v>46</v>
      </c>
      <c r="J12" s="226"/>
      <c r="K12" s="189"/>
      <c r="L12" s="189"/>
      <c r="M12" s="189"/>
    </row>
    <row r="13" spans="1:13" s="13" customFormat="1" ht="15" customHeight="1">
      <c r="A13" s="189"/>
      <c r="B13" s="189"/>
      <c r="C13" s="189"/>
      <c r="D13" s="189"/>
      <c r="E13" s="189"/>
      <c r="F13" s="189" t="s">
        <v>345</v>
      </c>
      <c r="G13" s="189" t="s">
        <v>14</v>
      </c>
      <c r="H13" s="189"/>
      <c r="I13" s="189"/>
      <c r="J13" s="226"/>
      <c r="K13" s="189"/>
      <c r="L13" s="189"/>
      <c r="M13" s="189"/>
    </row>
    <row r="14" spans="1:13" s="13" customFormat="1" ht="94.5" customHeight="1">
      <c r="A14" s="189"/>
      <c r="B14" s="189"/>
      <c r="C14" s="189"/>
      <c r="D14" s="189"/>
      <c r="E14" s="189"/>
      <c r="F14" s="189"/>
      <c r="G14" s="227" t="s">
        <v>346</v>
      </c>
      <c r="H14" s="227" t="s">
        <v>347</v>
      </c>
      <c r="I14" s="189"/>
      <c r="J14" s="226"/>
      <c r="K14" s="189"/>
      <c r="L14" s="189"/>
      <c r="M14" s="189"/>
    </row>
    <row r="15" spans="1:13" s="13" customFormat="1" ht="15" customHeight="1">
      <c r="A15" s="189">
        <v>1</v>
      </c>
      <c r="B15" s="189">
        <v>2</v>
      </c>
      <c r="C15" s="189">
        <v>3</v>
      </c>
      <c r="D15" s="189">
        <v>4</v>
      </c>
      <c r="E15" s="189">
        <v>5</v>
      </c>
      <c r="F15" s="189">
        <v>6</v>
      </c>
      <c r="G15" s="189">
        <v>7</v>
      </c>
      <c r="H15" s="189">
        <v>8</v>
      </c>
      <c r="I15" s="189">
        <v>9</v>
      </c>
      <c r="J15" s="189">
        <v>10</v>
      </c>
      <c r="K15" s="189">
        <v>11</v>
      </c>
      <c r="L15" s="189"/>
      <c r="M15" s="189">
        <v>12</v>
      </c>
    </row>
    <row r="16" spans="1:13" s="13" customFormat="1" ht="15" customHeight="1">
      <c r="A16" s="228" t="s">
        <v>348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</row>
    <row r="17" spans="1:16" s="13" customFormat="1" ht="37.5" customHeight="1">
      <c r="A17" s="229" t="s">
        <v>349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P17" s="13" t="s">
        <v>70</v>
      </c>
    </row>
    <row r="18" spans="1:13" s="13" customFormat="1" ht="18.75" customHeight="1">
      <c r="A18" s="189" t="s">
        <v>17</v>
      </c>
      <c r="B18" s="189" t="s">
        <v>350</v>
      </c>
      <c r="C18" s="189">
        <v>2017</v>
      </c>
      <c r="D18" s="230">
        <v>4</v>
      </c>
      <c r="E18" s="230"/>
      <c r="F18" s="230"/>
      <c r="G18" s="230"/>
      <c r="H18" s="230"/>
      <c r="I18" s="230">
        <v>4</v>
      </c>
      <c r="J18" s="229"/>
      <c r="K18" s="189" t="s">
        <v>351</v>
      </c>
      <c r="L18" s="189"/>
      <c r="M18" s="189" t="s">
        <v>352</v>
      </c>
    </row>
    <row r="19" spans="1:13" s="13" customFormat="1" ht="22.5" customHeight="1">
      <c r="A19" s="189"/>
      <c r="B19" s="189"/>
      <c r="C19" s="189">
        <v>2018</v>
      </c>
      <c r="D19" s="231">
        <f aca="true" t="shared" si="0" ref="D19:D21">SUM(E19:I19)</f>
        <v>4</v>
      </c>
      <c r="E19" s="230"/>
      <c r="F19" s="230"/>
      <c r="G19" s="230"/>
      <c r="H19" s="232"/>
      <c r="I19" s="231">
        <v>4</v>
      </c>
      <c r="J19" s="233"/>
      <c r="K19" s="189"/>
      <c r="L19" s="189"/>
      <c r="M19" s="189"/>
    </row>
    <row r="20" spans="1:13" s="13" customFormat="1" ht="18" customHeight="1">
      <c r="A20" s="189"/>
      <c r="B20" s="189"/>
      <c r="C20" s="189">
        <v>2019</v>
      </c>
      <c r="D20" s="230">
        <f t="shared" si="0"/>
        <v>4</v>
      </c>
      <c r="E20" s="230"/>
      <c r="F20" s="230"/>
      <c r="G20" s="230"/>
      <c r="H20" s="232"/>
      <c r="I20" s="230">
        <v>4</v>
      </c>
      <c r="J20" s="233"/>
      <c r="K20" s="189"/>
      <c r="L20" s="189"/>
      <c r="M20" s="189"/>
    </row>
    <row r="21" spans="1:13" s="13" customFormat="1" ht="15" customHeight="1">
      <c r="A21" s="189"/>
      <c r="B21" s="189"/>
      <c r="C21" s="189">
        <v>2020</v>
      </c>
      <c r="D21" s="230">
        <f t="shared" si="0"/>
        <v>0</v>
      </c>
      <c r="E21" s="230"/>
      <c r="F21" s="230"/>
      <c r="G21" s="230"/>
      <c r="H21" s="232"/>
      <c r="I21" s="230">
        <v>0</v>
      </c>
      <c r="J21" s="233"/>
      <c r="K21" s="189"/>
      <c r="L21" s="189"/>
      <c r="M21" s="189"/>
    </row>
    <row r="22" spans="1:13" s="13" customFormat="1" ht="17.25" customHeight="1">
      <c r="A22" s="189"/>
      <c r="B22" s="189"/>
      <c r="C22" s="189">
        <v>2021</v>
      </c>
      <c r="D22" s="230">
        <f aca="true" t="shared" si="1" ref="D22:D24">I22</f>
        <v>0</v>
      </c>
      <c r="E22" s="230"/>
      <c r="F22" s="230"/>
      <c r="G22" s="230"/>
      <c r="H22" s="232"/>
      <c r="I22" s="230">
        <v>0</v>
      </c>
      <c r="J22" s="233"/>
      <c r="K22" s="189"/>
      <c r="L22" s="189"/>
      <c r="M22" s="189"/>
    </row>
    <row r="23" spans="1:13" s="13" customFormat="1" ht="18.75" customHeight="1">
      <c r="A23" s="189"/>
      <c r="B23" s="189"/>
      <c r="C23" s="189">
        <v>2022</v>
      </c>
      <c r="D23" s="230">
        <f t="shared" si="1"/>
        <v>0</v>
      </c>
      <c r="E23" s="230"/>
      <c r="F23" s="230"/>
      <c r="G23" s="230"/>
      <c r="H23" s="232"/>
      <c r="I23" s="230">
        <v>0</v>
      </c>
      <c r="J23" s="233"/>
      <c r="K23" s="189"/>
      <c r="L23" s="189"/>
      <c r="M23" s="189"/>
    </row>
    <row r="24" spans="1:13" s="13" customFormat="1" ht="14.25" customHeight="1">
      <c r="A24" s="189"/>
      <c r="B24" s="189"/>
      <c r="C24" s="189">
        <v>2023</v>
      </c>
      <c r="D24" s="230">
        <f t="shared" si="1"/>
        <v>0</v>
      </c>
      <c r="E24" s="230"/>
      <c r="F24" s="230"/>
      <c r="G24" s="230"/>
      <c r="H24" s="232"/>
      <c r="I24" s="230">
        <v>0</v>
      </c>
      <c r="J24" s="233"/>
      <c r="K24" s="189"/>
      <c r="L24" s="189"/>
      <c r="M24" s="189"/>
    </row>
    <row r="25" spans="1:13" s="13" customFormat="1" ht="15.75" customHeight="1">
      <c r="A25" s="228" t="s">
        <v>353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3" s="13" customFormat="1" ht="18.75" customHeight="1">
      <c r="A26" s="189" t="s">
        <v>319</v>
      </c>
      <c r="B26" s="189" t="s">
        <v>354</v>
      </c>
      <c r="C26" s="226">
        <v>2017</v>
      </c>
      <c r="D26" s="230">
        <v>1.5</v>
      </c>
      <c r="E26" s="189"/>
      <c r="F26" s="189"/>
      <c r="G26" s="189"/>
      <c r="H26" s="189"/>
      <c r="I26" s="230">
        <v>1.5</v>
      </c>
      <c r="J26" s="233"/>
      <c r="K26" s="189" t="s">
        <v>355</v>
      </c>
      <c r="L26" s="189"/>
      <c r="M26" s="189" t="s">
        <v>356</v>
      </c>
    </row>
    <row r="27" spans="1:16" s="13" customFormat="1" ht="21.75" customHeight="1">
      <c r="A27" s="189"/>
      <c r="B27" s="189"/>
      <c r="C27" s="226">
        <v>2018</v>
      </c>
      <c r="D27" s="230">
        <f aca="true" t="shared" si="2" ref="D27:D29">SUM(E27:I27)</f>
        <v>1.5</v>
      </c>
      <c r="E27" s="230"/>
      <c r="F27" s="230"/>
      <c r="G27" s="230"/>
      <c r="H27" s="230"/>
      <c r="I27" s="230">
        <v>1.5</v>
      </c>
      <c r="J27" s="233"/>
      <c r="K27" s="189"/>
      <c r="L27" s="189"/>
      <c r="M27" s="189"/>
      <c r="N27" s="13" t="s">
        <v>70</v>
      </c>
      <c r="P27" s="13" t="s">
        <v>70</v>
      </c>
    </row>
    <row r="28" spans="1:13" s="13" customFormat="1" ht="17.25" customHeight="1">
      <c r="A28" s="189"/>
      <c r="B28" s="189"/>
      <c r="C28" s="226">
        <v>2019</v>
      </c>
      <c r="D28" s="230">
        <f t="shared" si="2"/>
        <v>1.5</v>
      </c>
      <c r="E28" s="230"/>
      <c r="F28" s="230"/>
      <c r="G28" s="230"/>
      <c r="H28" s="230"/>
      <c r="I28" s="230">
        <v>1.5</v>
      </c>
      <c r="J28" s="233"/>
      <c r="K28" s="189"/>
      <c r="L28" s="189"/>
      <c r="M28" s="189"/>
    </row>
    <row r="29" spans="1:13" s="13" customFormat="1" ht="14.25" customHeight="1">
      <c r="A29" s="189"/>
      <c r="B29" s="189"/>
      <c r="C29" s="226">
        <v>2020</v>
      </c>
      <c r="D29" s="230">
        <f t="shared" si="2"/>
        <v>4.807</v>
      </c>
      <c r="E29" s="230"/>
      <c r="F29" s="230"/>
      <c r="G29" s="230"/>
      <c r="H29" s="230"/>
      <c r="I29" s="234">
        <f>1.5+3.307</f>
        <v>4.807</v>
      </c>
      <c r="J29" s="233"/>
      <c r="K29" s="189"/>
      <c r="L29" s="189"/>
      <c r="M29" s="189"/>
    </row>
    <row r="30" spans="1:13" s="13" customFormat="1" ht="15" customHeight="1">
      <c r="A30" s="189"/>
      <c r="B30" s="189"/>
      <c r="C30" s="189">
        <v>2021</v>
      </c>
      <c r="D30" s="230">
        <f aca="true" t="shared" si="3" ref="D30:D33">I30</f>
        <v>1.499</v>
      </c>
      <c r="E30" s="230"/>
      <c r="F30" s="230"/>
      <c r="G30" s="230"/>
      <c r="H30" s="230"/>
      <c r="I30" s="230">
        <f>1.5-0.001</f>
        <v>1.499</v>
      </c>
      <c r="J30" s="189"/>
      <c r="K30" s="189"/>
      <c r="L30" s="189"/>
      <c r="M30" s="189"/>
    </row>
    <row r="31" spans="1:13" s="13" customFormat="1" ht="18" customHeight="1">
      <c r="A31" s="189"/>
      <c r="B31" s="189"/>
      <c r="C31" s="189">
        <v>2022</v>
      </c>
      <c r="D31" s="230">
        <f t="shared" si="3"/>
        <v>1.5</v>
      </c>
      <c r="E31" s="230"/>
      <c r="F31" s="230"/>
      <c r="G31" s="230"/>
      <c r="H31" s="230"/>
      <c r="I31" s="230">
        <v>1.5</v>
      </c>
      <c r="J31" s="189"/>
      <c r="K31" s="189"/>
      <c r="L31" s="189"/>
      <c r="M31" s="189"/>
    </row>
    <row r="32" spans="1:13" s="13" customFormat="1" ht="18.75" customHeight="1">
      <c r="A32" s="189"/>
      <c r="B32" s="189"/>
      <c r="C32" s="189">
        <v>2023</v>
      </c>
      <c r="D32" s="230">
        <f t="shared" si="3"/>
        <v>0</v>
      </c>
      <c r="E32" s="230"/>
      <c r="F32" s="230"/>
      <c r="G32" s="230"/>
      <c r="H32" s="230"/>
      <c r="I32" s="230">
        <v>0</v>
      </c>
      <c r="J32" s="189"/>
      <c r="K32" s="189"/>
      <c r="L32" s="189"/>
      <c r="M32" s="189"/>
    </row>
    <row r="33" spans="1:13" s="13" customFormat="1" ht="18.75" customHeight="1">
      <c r="A33" s="189"/>
      <c r="B33" s="189"/>
      <c r="C33" s="189">
        <v>2024</v>
      </c>
      <c r="D33" s="230">
        <f t="shared" si="3"/>
        <v>0</v>
      </c>
      <c r="E33" s="230"/>
      <c r="F33" s="230"/>
      <c r="G33" s="230"/>
      <c r="H33" s="230"/>
      <c r="I33" s="230">
        <v>0</v>
      </c>
      <c r="J33" s="189"/>
      <c r="K33" s="235"/>
      <c r="L33" s="235"/>
      <c r="M33" s="236"/>
    </row>
    <row r="34" spans="1:13" s="13" customFormat="1" ht="15.75" customHeight="1">
      <c r="A34" s="228" t="s">
        <v>357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1:13" s="13" customFormat="1" ht="17.25" customHeight="1">
      <c r="A35" s="189" t="s">
        <v>321</v>
      </c>
      <c r="B35" s="189" t="s">
        <v>358</v>
      </c>
      <c r="C35" s="189">
        <v>2017</v>
      </c>
      <c r="D35" s="230">
        <f>I35</f>
        <v>7.6</v>
      </c>
      <c r="E35" s="230"/>
      <c r="F35" s="230"/>
      <c r="G35" s="230"/>
      <c r="H35" s="230"/>
      <c r="I35" s="230">
        <v>7.6</v>
      </c>
      <c r="J35" s="233"/>
      <c r="K35" s="189" t="s">
        <v>351</v>
      </c>
      <c r="L35" s="189"/>
      <c r="M35" s="226" t="s">
        <v>359</v>
      </c>
    </row>
    <row r="36" spans="1:14" s="13" customFormat="1" ht="15" customHeight="1">
      <c r="A36" s="189"/>
      <c r="B36" s="189"/>
      <c r="C36" s="189">
        <v>2018</v>
      </c>
      <c r="D36" s="230">
        <f aca="true" t="shared" si="4" ref="D36:D38">SUM(E36:I36)</f>
        <v>1.75</v>
      </c>
      <c r="E36" s="230"/>
      <c r="F36" s="230"/>
      <c r="G36" s="230"/>
      <c r="H36" s="230"/>
      <c r="I36" s="230">
        <v>1.75</v>
      </c>
      <c r="J36" s="233"/>
      <c r="K36" s="189"/>
      <c r="L36" s="189"/>
      <c r="M36" s="226"/>
      <c r="N36" s="13" t="s">
        <v>70</v>
      </c>
    </row>
    <row r="37" spans="1:15" s="13" customFormat="1" ht="18.75" customHeight="1">
      <c r="A37" s="189"/>
      <c r="B37" s="189"/>
      <c r="C37" s="189">
        <v>2019</v>
      </c>
      <c r="D37" s="230">
        <f t="shared" si="4"/>
        <v>7.6</v>
      </c>
      <c r="E37" s="230"/>
      <c r="F37" s="230"/>
      <c r="G37" s="230"/>
      <c r="H37" s="230"/>
      <c r="I37" s="230">
        <v>7.6</v>
      </c>
      <c r="J37" s="233"/>
      <c r="K37" s="189"/>
      <c r="L37" s="189"/>
      <c r="M37" s="226"/>
      <c r="O37" s="55"/>
    </row>
    <row r="38" spans="1:20" s="13" customFormat="1" ht="14.25" customHeight="1">
      <c r="A38" s="189"/>
      <c r="B38" s="189"/>
      <c r="C38" s="237">
        <v>2020</v>
      </c>
      <c r="D38" s="230">
        <f t="shared" si="4"/>
        <v>6.6</v>
      </c>
      <c r="E38" s="230"/>
      <c r="F38" s="230"/>
      <c r="G38" s="230"/>
      <c r="H38" s="230"/>
      <c r="I38" s="230">
        <v>6.6</v>
      </c>
      <c r="J38" s="233"/>
      <c r="K38" s="189"/>
      <c r="L38" s="189"/>
      <c r="M38" s="226"/>
      <c r="T38" s="13" t="s">
        <v>70</v>
      </c>
    </row>
    <row r="39" spans="1:13" s="13" customFormat="1" ht="18" customHeight="1">
      <c r="A39" s="189"/>
      <c r="B39" s="189"/>
      <c r="C39" s="237">
        <v>2021</v>
      </c>
      <c r="D39" s="230">
        <f aca="true" t="shared" si="5" ref="D39:D42">I39</f>
        <v>5</v>
      </c>
      <c r="E39" s="230"/>
      <c r="F39" s="230"/>
      <c r="G39" s="230"/>
      <c r="H39" s="230"/>
      <c r="I39" s="230">
        <v>5</v>
      </c>
      <c r="J39" s="189"/>
      <c r="K39" s="189"/>
      <c r="L39" s="189"/>
      <c r="M39" s="226"/>
    </row>
    <row r="40" spans="1:13" s="13" customFormat="1" ht="18.75" customHeight="1">
      <c r="A40" s="189"/>
      <c r="B40" s="189"/>
      <c r="C40" s="237">
        <v>2022</v>
      </c>
      <c r="D40" s="230">
        <f t="shared" si="5"/>
        <v>0</v>
      </c>
      <c r="E40" s="230"/>
      <c r="F40" s="230"/>
      <c r="G40" s="230"/>
      <c r="H40" s="230"/>
      <c r="I40" s="230">
        <v>0</v>
      </c>
      <c r="J40" s="189"/>
      <c r="K40" s="189"/>
      <c r="L40" s="189"/>
      <c r="M40" s="226"/>
    </row>
    <row r="41" spans="1:13" s="13" customFormat="1" ht="18" customHeight="1">
      <c r="A41" s="189"/>
      <c r="B41" s="189"/>
      <c r="C41" s="237">
        <v>2023</v>
      </c>
      <c r="D41" s="230">
        <f t="shared" si="5"/>
        <v>0</v>
      </c>
      <c r="E41" s="230"/>
      <c r="F41" s="230"/>
      <c r="G41" s="230"/>
      <c r="H41" s="230"/>
      <c r="I41" s="230">
        <v>0</v>
      </c>
      <c r="J41" s="189"/>
      <c r="K41" s="189"/>
      <c r="L41" s="189"/>
      <c r="M41" s="226"/>
    </row>
    <row r="42" spans="1:13" s="13" customFormat="1" ht="18" customHeight="1">
      <c r="A42" s="189" t="s">
        <v>256</v>
      </c>
      <c r="B42" s="189" t="s">
        <v>360</v>
      </c>
      <c r="C42" s="237">
        <v>2017</v>
      </c>
      <c r="D42" s="230">
        <f t="shared" si="5"/>
        <v>6.4</v>
      </c>
      <c r="E42" s="230"/>
      <c r="F42" s="230"/>
      <c r="G42" s="230"/>
      <c r="H42" s="230"/>
      <c r="I42" s="230">
        <v>6.4</v>
      </c>
      <c r="J42" s="233"/>
      <c r="K42" s="189" t="s">
        <v>351</v>
      </c>
      <c r="L42" s="189"/>
      <c r="M42" s="226"/>
    </row>
    <row r="43" spans="1:17" s="13" customFormat="1" ht="24" customHeight="1">
      <c r="A43" s="189"/>
      <c r="B43" s="189"/>
      <c r="C43" s="189">
        <v>2018</v>
      </c>
      <c r="D43" s="230">
        <f aca="true" t="shared" si="6" ref="D43:D45">SUM(E43:I43)</f>
        <v>0</v>
      </c>
      <c r="E43" s="230"/>
      <c r="F43" s="230"/>
      <c r="G43" s="230"/>
      <c r="H43" s="230"/>
      <c r="I43" s="230">
        <v>0</v>
      </c>
      <c r="J43" s="233"/>
      <c r="K43" s="189"/>
      <c r="L43" s="189"/>
      <c r="M43" s="226"/>
      <c r="Q43" s="13" t="s">
        <v>70</v>
      </c>
    </row>
    <row r="44" spans="1:13" s="13" customFormat="1" ht="21" customHeight="1">
      <c r="A44" s="189"/>
      <c r="B44" s="189"/>
      <c r="C44" s="189">
        <v>2019</v>
      </c>
      <c r="D44" s="230">
        <f t="shared" si="6"/>
        <v>3</v>
      </c>
      <c r="E44" s="230"/>
      <c r="F44" s="230"/>
      <c r="G44" s="230"/>
      <c r="H44" s="230"/>
      <c r="I44" s="230">
        <v>3</v>
      </c>
      <c r="J44" s="233"/>
      <c r="K44" s="189"/>
      <c r="L44" s="189"/>
      <c r="M44" s="226"/>
    </row>
    <row r="45" spans="1:13" s="13" customFormat="1" ht="18" customHeight="1">
      <c r="A45" s="189"/>
      <c r="B45" s="189"/>
      <c r="C45" s="237">
        <v>2020</v>
      </c>
      <c r="D45" s="230">
        <f t="shared" si="6"/>
        <v>0</v>
      </c>
      <c r="E45" s="230"/>
      <c r="F45" s="230"/>
      <c r="G45" s="230"/>
      <c r="H45" s="230"/>
      <c r="I45" s="230">
        <v>0</v>
      </c>
      <c r="J45" s="233"/>
      <c r="K45" s="189"/>
      <c r="L45" s="189"/>
      <c r="M45" s="226"/>
    </row>
    <row r="46" spans="1:13" s="13" customFormat="1" ht="19.5" customHeight="1">
      <c r="A46" s="189"/>
      <c r="B46" s="189"/>
      <c r="C46" s="237">
        <v>2021</v>
      </c>
      <c r="D46" s="230">
        <f aca="true" t="shared" si="7" ref="D46:D49">I46</f>
        <v>5</v>
      </c>
      <c r="E46" s="230"/>
      <c r="F46" s="230"/>
      <c r="G46" s="230"/>
      <c r="H46" s="230"/>
      <c r="I46" s="230">
        <v>5</v>
      </c>
      <c r="J46" s="189"/>
      <c r="K46" s="189"/>
      <c r="L46" s="189"/>
      <c r="M46" s="226"/>
    </row>
    <row r="47" spans="1:13" s="13" customFormat="1" ht="21" customHeight="1">
      <c r="A47" s="189"/>
      <c r="B47" s="189"/>
      <c r="C47" s="237">
        <v>2022</v>
      </c>
      <c r="D47" s="230">
        <f t="shared" si="7"/>
        <v>0</v>
      </c>
      <c r="E47" s="230"/>
      <c r="F47" s="230"/>
      <c r="G47" s="230"/>
      <c r="H47" s="230"/>
      <c r="I47" s="230">
        <v>0</v>
      </c>
      <c r="J47" s="189"/>
      <c r="K47" s="189"/>
      <c r="L47" s="189"/>
      <c r="M47" s="226"/>
    </row>
    <row r="48" spans="1:13" s="13" customFormat="1" ht="24" customHeight="1">
      <c r="A48" s="189"/>
      <c r="B48" s="189"/>
      <c r="C48" s="237">
        <v>2023</v>
      </c>
      <c r="D48" s="230">
        <f t="shared" si="7"/>
        <v>0</v>
      </c>
      <c r="E48" s="230"/>
      <c r="F48" s="230"/>
      <c r="G48" s="230"/>
      <c r="H48" s="230"/>
      <c r="I48" s="230">
        <v>0</v>
      </c>
      <c r="J48" s="189"/>
      <c r="K48" s="189"/>
      <c r="L48" s="189"/>
      <c r="M48" s="226"/>
    </row>
    <row r="49" spans="1:13" s="13" customFormat="1" ht="23.25" customHeight="1">
      <c r="A49" s="189" t="s">
        <v>259</v>
      </c>
      <c r="B49" s="189" t="s">
        <v>361</v>
      </c>
      <c r="C49" s="237">
        <v>2017</v>
      </c>
      <c r="D49" s="230">
        <f t="shared" si="7"/>
        <v>0</v>
      </c>
      <c r="E49" s="230"/>
      <c r="F49" s="230"/>
      <c r="G49" s="230"/>
      <c r="H49" s="230"/>
      <c r="I49" s="230">
        <v>0</v>
      </c>
      <c r="J49" s="189"/>
      <c r="K49" s="189" t="s">
        <v>351</v>
      </c>
      <c r="L49" s="189"/>
      <c r="M49" s="226"/>
    </row>
    <row r="50" spans="1:13" s="13" customFormat="1" ht="20.25" customHeight="1">
      <c r="A50" s="189"/>
      <c r="B50" s="189"/>
      <c r="C50" s="189">
        <v>2018</v>
      </c>
      <c r="D50" s="230">
        <f aca="true" t="shared" si="8" ref="D50:D52">SUM(E50:I50)</f>
        <v>1.75</v>
      </c>
      <c r="E50" s="230"/>
      <c r="F50" s="230"/>
      <c r="G50" s="230"/>
      <c r="H50" s="230"/>
      <c r="I50" s="230">
        <v>1.75</v>
      </c>
      <c r="J50" s="233"/>
      <c r="K50" s="189"/>
      <c r="L50" s="189"/>
      <c r="M50" s="226"/>
    </row>
    <row r="51" spans="1:18" s="13" customFormat="1" ht="21" customHeight="1">
      <c r="A51" s="189"/>
      <c r="B51" s="189"/>
      <c r="C51" s="189">
        <v>2019</v>
      </c>
      <c r="D51" s="230">
        <f t="shared" si="8"/>
        <v>0</v>
      </c>
      <c r="E51" s="230"/>
      <c r="F51" s="230"/>
      <c r="G51" s="230"/>
      <c r="H51" s="232"/>
      <c r="I51" s="230">
        <v>0</v>
      </c>
      <c r="J51" s="233"/>
      <c r="K51" s="189"/>
      <c r="L51" s="189"/>
      <c r="M51" s="226"/>
      <c r="Q51" s="13" t="s">
        <v>70</v>
      </c>
      <c r="R51" s="13" t="s">
        <v>70</v>
      </c>
    </row>
    <row r="52" spans="1:13" s="13" customFormat="1" ht="19.5" customHeight="1">
      <c r="A52" s="189"/>
      <c r="B52" s="189"/>
      <c r="C52" s="237">
        <v>2020</v>
      </c>
      <c r="D52" s="230">
        <f t="shared" si="8"/>
        <v>0</v>
      </c>
      <c r="E52" s="230"/>
      <c r="F52" s="230"/>
      <c r="G52" s="230"/>
      <c r="H52" s="232"/>
      <c r="I52" s="230">
        <v>0</v>
      </c>
      <c r="J52" s="233"/>
      <c r="K52" s="189"/>
      <c r="L52" s="189"/>
      <c r="M52" s="226"/>
    </row>
    <row r="53" spans="1:13" s="13" customFormat="1" ht="18" customHeight="1">
      <c r="A53" s="189"/>
      <c r="B53" s="189"/>
      <c r="C53" s="237">
        <v>2021</v>
      </c>
      <c r="D53" s="230">
        <f aca="true" t="shared" si="9" ref="D53:D56">I53</f>
        <v>0</v>
      </c>
      <c r="E53" s="230"/>
      <c r="F53" s="230"/>
      <c r="G53" s="230"/>
      <c r="H53" s="232"/>
      <c r="I53" s="230">
        <v>0</v>
      </c>
      <c r="J53" s="233"/>
      <c r="K53" s="189"/>
      <c r="L53" s="189"/>
      <c r="M53" s="226"/>
    </row>
    <row r="54" spans="1:13" s="13" customFormat="1" ht="21" customHeight="1">
      <c r="A54" s="189"/>
      <c r="B54" s="189"/>
      <c r="C54" s="237">
        <v>2022</v>
      </c>
      <c r="D54" s="230">
        <f t="shared" si="9"/>
        <v>0</v>
      </c>
      <c r="E54" s="230"/>
      <c r="F54" s="230"/>
      <c r="G54" s="230"/>
      <c r="H54" s="232"/>
      <c r="I54" s="230">
        <v>0</v>
      </c>
      <c r="J54" s="233"/>
      <c r="K54" s="189"/>
      <c r="L54" s="189"/>
      <c r="M54" s="226"/>
    </row>
    <row r="55" spans="1:13" s="13" customFormat="1" ht="22.5" customHeight="1">
      <c r="A55" s="189"/>
      <c r="B55" s="189"/>
      <c r="C55" s="237">
        <v>2023</v>
      </c>
      <c r="D55" s="230">
        <f t="shared" si="9"/>
        <v>0</v>
      </c>
      <c r="E55" s="230"/>
      <c r="F55" s="230"/>
      <c r="G55" s="230"/>
      <c r="H55" s="232"/>
      <c r="I55" s="230">
        <v>0</v>
      </c>
      <c r="J55" s="233"/>
      <c r="K55" s="189"/>
      <c r="L55" s="189"/>
      <c r="M55" s="226"/>
    </row>
    <row r="56" spans="1:13" s="13" customFormat="1" ht="20.25" customHeight="1">
      <c r="A56" s="189" t="s">
        <v>362</v>
      </c>
      <c r="B56" s="189" t="s">
        <v>363</v>
      </c>
      <c r="C56" s="237">
        <v>2017</v>
      </c>
      <c r="D56" s="230">
        <f t="shared" si="9"/>
        <v>1.2</v>
      </c>
      <c r="E56" s="230"/>
      <c r="F56" s="230"/>
      <c r="G56" s="230"/>
      <c r="H56" s="232"/>
      <c r="I56" s="230">
        <v>1.2</v>
      </c>
      <c r="J56" s="233"/>
      <c r="K56" s="189" t="s">
        <v>351</v>
      </c>
      <c r="L56" s="189"/>
      <c r="M56" s="226"/>
    </row>
    <row r="57" spans="1:13" s="13" customFormat="1" ht="18.75" customHeight="1">
      <c r="A57" s="189"/>
      <c r="B57" s="189"/>
      <c r="C57" s="189">
        <v>2018</v>
      </c>
      <c r="D57" s="230">
        <f aca="true" t="shared" si="10" ref="D57:D59">SUM(E57:I57)</f>
        <v>0</v>
      </c>
      <c r="E57" s="230"/>
      <c r="F57" s="230"/>
      <c r="G57" s="230"/>
      <c r="H57" s="232"/>
      <c r="I57" s="230">
        <v>0</v>
      </c>
      <c r="J57" s="233"/>
      <c r="K57" s="189"/>
      <c r="L57" s="189"/>
      <c r="M57" s="226"/>
    </row>
    <row r="58" spans="1:13" s="13" customFormat="1" ht="20.25" customHeight="1">
      <c r="A58" s="189"/>
      <c r="B58" s="189"/>
      <c r="C58" s="189">
        <v>2019</v>
      </c>
      <c r="D58" s="230">
        <f t="shared" si="10"/>
        <v>4.6</v>
      </c>
      <c r="E58" s="230"/>
      <c r="F58" s="230"/>
      <c r="G58" s="230"/>
      <c r="H58" s="232"/>
      <c r="I58" s="230">
        <v>4.6</v>
      </c>
      <c r="J58" s="233"/>
      <c r="K58" s="189"/>
      <c r="L58" s="189"/>
      <c r="M58" s="226"/>
    </row>
    <row r="59" spans="1:21" s="13" customFormat="1" ht="18.75" customHeight="1">
      <c r="A59" s="189"/>
      <c r="B59" s="189"/>
      <c r="C59" s="237">
        <v>2020</v>
      </c>
      <c r="D59" s="230">
        <f t="shared" si="10"/>
        <v>6</v>
      </c>
      <c r="E59" s="230"/>
      <c r="F59" s="230"/>
      <c r="G59" s="230"/>
      <c r="H59" s="232"/>
      <c r="I59" s="230">
        <v>6</v>
      </c>
      <c r="J59" s="233"/>
      <c r="K59" s="189"/>
      <c r="L59" s="189"/>
      <c r="M59" s="226"/>
      <c r="U59" s="13" t="s">
        <v>70</v>
      </c>
    </row>
    <row r="60" spans="1:13" s="13" customFormat="1" ht="16.5" customHeight="1">
      <c r="A60" s="189"/>
      <c r="B60" s="189"/>
      <c r="C60" s="237">
        <v>2021</v>
      </c>
      <c r="D60" s="230">
        <f aca="true" t="shared" si="11" ref="D60:D63">I60</f>
        <v>0</v>
      </c>
      <c r="E60" s="230"/>
      <c r="F60" s="230"/>
      <c r="G60" s="230"/>
      <c r="H60" s="232"/>
      <c r="I60" s="230">
        <v>0</v>
      </c>
      <c r="J60" s="189"/>
      <c r="K60" s="189"/>
      <c r="L60" s="189"/>
      <c r="M60" s="226"/>
    </row>
    <row r="61" spans="1:13" s="13" customFormat="1" ht="21" customHeight="1">
      <c r="A61" s="189"/>
      <c r="B61" s="189"/>
      <c r="C61" s="237">
        <v>2022</v>
      </c>
      <c r="D61" s="230">
        <f t="shared" si="11"/>
        <v>0</v>
      </c>
      <c r="E61" s="230"/>
      <c r="F61" s="230"/>
      <c r="G61" s="230"/>
      <c r="H61" s="232"/>
      <c r="I61" s="230">
        <v>0</v>
      </c>
      <c r="J61" s="189"/>
      <c r="K61" s="189"/>
      <c r="L61" s="189"/>
      <c r="M61" s="226"/>
    </row>
    <row r="62" spans="1:13" s="13" customFormat="1" ht="21" customHeight="1">
      <c r="A62" s="189"/>
      <c r="B62" s="189"/>
      <c r="C62" s="237">
        <v>2023</v>
      </c>
      <c r="D62" s="230">
        <f t="shared" si="11"/>
        <v>0</v>
      </c>
      <c r="E62" s="230"/>
      <c r="F62" s="230"/>
      <c r="G62" s="230"/>
      <c r="H62" s="232"/>
      <c r="I62" s="230">
        <v>0</v>
      </c>
      <c r="J62" s="189"/>
      <c r="K62" s="189"/>
      <c r="L62" s="189"/>
      <c r="M62" s="226"/>
    </row>
    <row r="63" spans="1:13" s="13" customFormat="1" ht="19.5" customHeight="1">
      <c r="A63" s="189" t="s">
        <v>364</v>
      </c>
      <c r="B63" s="189" t="s">
        <v>365</v>
      </c>
      <c r="C63" s="237">
        <v>2017</v>
      </c>
      <c r="D63" s="230">
        <f t="shared" si="11"/>
        <v>0</v>
      </c>
      <c r="E63" s="230"/>
      <c r="F63" s="230"/>
      <c r="G63" s="230"/>
      <c r="H63" s="232"/>
      <c r="I63" s="230">
        <v>0</v>
      </c>
      <c r="J63" s="233"/>
      <c r="K63" s="189" t="s">
        <v>351</v>
      </c>
      <c r="L63" s="189"/>
      <c r="M63" s="226"/>
    </row>
    <row r="64" spans="1:13" s="13" customFormat="1" ht="15" customHeight="1">
      <c r="A64" s="189"/>
      <c r="B64" s="189"/>
      <c r="C64" s="189">
        <v>2018</v>
      </c>
      <c r="D64" s="230">
        <f aca="true" t="shared" si="12" ref="D64:D66">SUM(E64:I64)</f>
        <v>0</v>
      </c>
      <c r="E64" s="230"/>
      <c r="F64" s="230"/>
      <c r="G64" s="230"/>
      <c r="H64" s="232"/>
      <c r="I64" s="230">
        <v>0</v>
      </c>
      <c r="J64" s="233"/>
      <c r="K64" s="189"/>
      <c r="L64" s="189"/>
      <c r="M64" s="226"/>
    </row>
    <row r="65" spans="1:13" s="13" customFormat="1" ht="27" customHeight="1">
      <c r="A65" s="189"/>
      <c r="B65" s="189"/>
      <c r="C65" s="189">
        <v>2019</v>
      </c>
      <c r="D65" s="230">
        <f t="shared" si="12"/>
        <v>0</v>
      </c>
      <c r="E65" s="230"/>
      <c r="F65" s="230"/>
      <c r="G65" s="230"/>
      <c r="H65" s="232"/>
      <c r="I65" s="230">
        <v>0</v>
      </c>
      <c r="J65" s="233"/>
      <c r="K65" s="189"/>
      <c r="L65" s="189"/>
      <c r="M65" s="226"/>
    </row>
    <row r="66" spans="1:16" s="13" customFormat="1" ht="21" customHeight="1">
      <c r="A66" s="189"/>
      <c r="B66" s="189"/>
      <c r="C66" s="237">
        <v>2020</v>
      </c>
      <c r="D66" s="230">
        <f t="shared" si="12"/>
        <v>0</v>
      </c>
      <c r="E66" s="230"/>
      <c r="F66" s="230"/>
      <c r="G66" s="230"/>
      <c r="H66" s="232"/>
      <c r="I66" s="230">
        <v>0</v>
      </c>
      <c r="J66" s="233"/>
      <c r="K66" s="189"/>
      <c r="L66" s="189"/>
      <c r="M66" s="226"/>
      <c r="P66" s="13" t="s">
        <v>70</v>
      </c>
    </row>
    <row r="67" spans="1:13" s="13" customFormat="1" ht="18" customHeight="1">
      <c r="A67" s="189"/>
      <c r="B67" s="189"/>
      <c r="C67" s="237">
        <v>2021</v>
      </c>
      <c r="D67" s="230">
        <v>0</v>
      </c>
      <c r="E67" s="230"/>
      <c r="F67" s="230"/>
      <c r="G67" s="230"/>
      <c r="H67" s="232"/>
      <c r="I67" s="230">
        <v>0</v>
      </c>
      <c r="J67" s="189"/>
      <c r="K67" s="189"/>
      <c r="L67" s="189"/>
      <c r="M67" s="226"/>
    </row>
    <row r="68" spans="1:13" s="13" customFormat="1" ht="22.5" customHeight="1">
      <c r="A68" s="189"/>
      <c r="B68" s="189"/>
      <c r="C68" s="237">
        <v>2022</v>
      </c>
      <c r="D68" s="230">
        <f>I615</f>
        <v>0</v>
      </c>
      <c r="E68" s="230"/>
      <c r="F68" s="230"/>
      <c r="G68" s="230"/>
      <c r="H68" s="232"/>
      <c r="I68" s="230">
        <v>0</v>
      </c>
      <c r="J68" s="189"/>
      <c r="K68" s="189"/>
      <c r="L68" s="189"/>
      <c r="M68" s="226"/>
    </row>
    <row r="69" spans="1:13" s="13" customFormat="1" ht="18" customHeight="1">
      <c r="A69" s="189"/>
      <c r="B69" s="189"/>
      <c r="C69" s="237">
        <v>2023</v>
      </c>
      <c r="D69" s="230">
        <f aca="true" t="shared" si="13" ref="D69:D70">I69</f>
        <v>0</v>
      </c>
      <c r="E69" s="230"/>
      <c r="F69" s="230"/>
      <c r="G69" s="230"/>
      <c r="H69" s="232"/>
      <c r="I69" s="230">
        <v>0</v>
      </c>
      <c r="J69" s="189"/>
      <c r="K69" s="189"/>
      <c r="L69" s="189"/>
      <c r="M69" s="226"/>
    </row>
    <row r="70" spans="1:13" s="13" customFormat="1" ht="17.25" customHeight="1">
      <c r="A70" s="189" t="s">
        <v>366</v>
      </c>
      <c r="B70" s="189" t="s">
        <v>367</v>
      </c>
      <c r="C70" s="237">
        <v>2017</v>
      </c>
      <c r="D70" s="230">
        <f t="shared" si="13"/>
        <v>0</v>
      </c>
      <c r="E70" s="230"/>
      <c r="F70" s="230"/>
      <c r="G70" s="230"/>
      <c r="H70" s="232"/>
      <c r="I70" s="230">
        <v>0</v>
      </c>
      <c r="J70" s="233"/>
      <c r="K70" s="189" t="s">
        <v>351</v>
      </c>
      <c r="L70" s="189"/>
      <c r="M70" s="226"/>
    </row>
    <row r="71" spans="1:13" s="13" customFormat="1" ht="18" customHeight="1">
      <c r="A71" s="189"/>
      <c r="B71" s="189"/>
      <c r="C71" s="189">
        <v>2018</v>
      </c>
      <c r="D71" s="230">
        <f aca="true" t="shared" si="14" ref="D71:D73">SUM(E71:I71)</f>
        <v>0</v>
      </c>
      <c r="E71" s="230"/>
      <c r="F71" s="230"/>
      <c r="G71" s="230"/>
      <c r="H71" s="232"/>
      <c r="I71" s="230">
        <v>0</v>
      </c>
      <c r="J71" s="233"/>
      <c r="K71" s="189"/>
      <c r="L71" s="189"/>
      <c r="M71" s="226"/>
    </row>
    <row r="72" spans="1:15" s="13" customFormat="1" ht="21" customHeight="1">
      <c r="A72" s="189"/>
      <c r="B72" s="189"/>
      <c r="C72" s="189">
        <v>2019</v>
      </c>
      <c r="D72" s="230">
        <f t="shared" si="14"/>
        <v>0</v>
      </c>
      <c r="E72" s="230"/>
      <c r="F72" s="230"/>
      <c r="G72" s="230"/>
      <c r="H72" s="232"/>
      <c r="I72" s="230">
        <v>0</v>
      </c>
      <c r="J72" s="233"/>
      <c r="K72" s="189"/>
      <c r="L72" s="189"/>
      <c r="M72" s="226"/>
      <c r="O72" s="13" t="s">
        <v>70</v>
      </c>
    </row>
    <row r="73" spans="1:13" s="13" customFormat="1" ht="18" customHeight="1">
      <c r="A73" s="189"/>
      <c r="B73" s="189"/>
      <c r="C73" s="237">
        <v>2020</v>
      </c>
      <c r="D73" s="230">
        <f t="shared" si="14"/>
        <v>0</v>
      </c>
      <c r="E73" s="230"/>
      <c r="F73" s="230"/>
      <c r="G73" s="230"/>
      <c r="H73" s="232"/>
      <c r="I73" s="230">
        <v>0</v>
      </c>
      <c r="J73" s="233"/>
      <c r="K73" s="189"/>
      <c r="L73" s="189"/>
      <c r="M73" s="226"/>
    </row>
    <row r="74" spans="1:13" s="13" customFormat="1" ht="24" customHeight="1">
      <c r="A74" s="189"/>
      <c r="B74" s="189"/>
      <c r="C74" s="237">
        <v>2021</v>
      </c>
      <c r="D74" s="230">
        <v>0</v>
      </c>
      <c r="E74" s="230"/>
      <c r="F74" s="230"/>
      <c r="G74" s="230"/>
      <c r="H74" s="232"/>
      <c r="I74" s="230">
        <v>0</v>
      </c>
      <c r="J74" s="189"/>
      <c r="K74" s="189"/>
      <c r="L74" s="189"/>
      <c r="M74" s="226"/>
    </row>
    <row r="75" spans="1:13" s="13" customFormat="1" ht="21.75" customHeight="1">
      <c r="A75" s="189"/>
      <c r="B75" s="189"/>
      <c r="C75" s="237">
        <v>2022</v>
      </c>
      <c r="D75" s="230">
        <f>I666</f>
        <v>0</v>
      </c>
      <c r="E75" s="230"/>
      <c r="F75" s="230"/>
      <c r="G75" s="230"/>
      <c r="H75" s="232"/>
      <c r="I75" s="230">
        <v>0</v>
      </c>
      <c r="J75" s="189"/>
      <c r="K75" s="189"/>
      <c r="L75" s="189"/>
      <c r="M75" s="226"/>
    </row>
    <row r="76" spans="1:13" s="13" customFormat="1" ht="24.75" customHeight="1">
      <c r="A76" s="189"/>
      <c r="B76" s="189"/>
      <c r="C76" s="237">
        <v>2023</v>
      </c>
      <c r="D76" s="230">
        <f aca="true" t="shared" si="15" ref="D76:D77">I76</f>
        <v>0</v>
      </c>
      <c r="E76" s="230"/>
      <c r="F76" s="230"/>
      <c r="G76" s="230"/>
      <c r="H76" s="232"/>
      <c r="I76" s="230">
        <v>0</v>
      </c>
      <c r="J76" s="189"/>
      <c r="K76" s="189"/>
      <c r="L76" s="189"/>
      <c r="M76" s="226"/>
    </row>
    <row r="77" spans="1:13" s="13" customFormat="1" ht="21.75" customHeight="1">
      <c r="A77" s="189" t="s">
        <v>368</v>
      </c>
      <c r="B77" s="189" t="s">
        <v>369</v>
      </c>
      <c r="C77" s="237">
        <v>2017</v>
      </c>
      <c r="D77" s="230">
        <f t="shared" si="15"/>
        <v>0</v>
      </c>
      <c r="E77" s="230"/>
      <c r="F77" s="230"/>
      <c r="G77" s="230"/>
      <c r="H77" s="232"/>
      <c r="I77" s="230">
        <v>0</v>
      </c>
      <c r="J77" s="233"/>
      <c r="K77" s="189" t="s">
        <v>351</v>
      </c>
      <c r="L77" s="189"/>
      <c r="M77" s="226"/>
    </row>
    <row r="78" spans="1:13" s="13" customFormat="1" ht="21" customHeight="1">
      <c r="A78" s="189"/>
      <c r="B78" s="189"/>
      <c r="C78" s="189">
        <v>2018</v>
      </c>
      <c r="D78" s="230">
        <f aca="true" t="shared" si="16" ref="D78:D80">SUM(E78:I78)</f>
        <v>0</v>
      </c>
      <c r="E78" s="230"/>
      <c r="F78" s="230"/>
      <c r="G78" s="230"/>
      <c r="H78" s="232"/>
      <c r="I78" s="230">
        <v>0</v>
      </c>
      <c r="J78" s="233"/>
      <c r="K78" s="189"/>
      <c r="L78" s="189"/>
      <c r="M78" s="226"/>
    </row>
    <row r="79" spans="1:15" s="13" customFormat="1" ht="17.25" customHeight="1">
      <c r="A79" s="189"/>
      <c r="B79" s="189"/>
      <c r="C79" s="189">
        <v>2019</v>
      </c>
      <c r="D79" s="230">
        <f t="shared" si="16"/>
        <v>0</v>
      </c>
      <c r="E79" s="230"/>
      <c r="F79" s="230"/>
      <c r="G79" s="230"/>
      <c r="H79" s="232"/>
      <c r="I79" s="230">
        <v>0</v>
      </c>
      <c r="J79" s="233"/>
      <c r="K79" s="189"/>
      <c r="L79" s="189"/>
      <c r="M79" s="226"/>
      <c r="O79" s="13" t="s">
        <v>70</v>
      </c>
    </row>
    <row r="80" spans="1:13" s="13" customFormat="1" ht="19.5" customHeight="1">
      <c r="A80" s="189"/>
      <c r="B80" s="189"/>
      <c r="C80" s="237">
        <v>2020</v>
      </c>
      <c r="D80" s="230">
        <f t="shared" si="16"/>
        <v>0</v>
      </c>
      <c r="E80" s="230"/>
      <c r="F80" s="230"/>
      <c r="G80" s="230"/>
      <c r="H80" s="232"/>
      <c r="I80" s="230">
        <v>0</v>
      </c>
      <c r="J80" s="233"/>
      <c r="K80" s="189"/>
      <c r="L80" s="189"/>
      <c r="M80" s="226"/>
    </row>
    <row r="81" spans="1:13" s="13" customFormat="1" ht="19.5" customHeight="1">
      <c r="A81" s="189"/>
      <c r="B81" s="189"/>
      <c r="C81" s="237">
        <v>2021</v>
      </c>
      <c r="D81" s="230">
        <v>0</v>
      </c>
      <c r="E81" s="230"/>
      <c r="F81" s="230"/>
      <c r="G81" s="230"/>
      <c r="H81" s="232"/>
      <c r="I81" s="230">
        <v>0</v>
      </c>
      <c r="J81" s="189"/>
      <c r="K81" s="189"/>
      <c r="L81" s="189"/>
      <c r="M81" s="226"/>
    </row>
    <row r="82" spans="1:13" s="13" customFormat="1" ht="21" customHeight="1">
      <c r="A82" s="189"/>
      <c r="B82" s="189"/>
      <c r="C82" s="237">
        <v>2022</v>
      </c>
      <c r="D82" s="230">
        <f aca="true" t="shared" si="17" ref="D82:D84">I82</f>
        <v>0</v>
      </c>
      <c r="E82" s="230"/>
      <c r="F82" s="230"/>
      <c r="G82" s="230"/>
      <c r="H82" s="232"/>
      <c r="I82" s="230">
        <v>0</v>
      </c>
      <c r="J82" s="189"/>
      <c r="K82" s="189"/>
      <c r="L82" s="189"/>
      <c r="M82" s="226"/>
    </row>
    <row r="83" spans="1:13" s="13" customFormat="1" ht="18" customHeight="1">
      <c r="A83" s="189"/>
      <c r="B83" s="189"/>
      <c r="C83" s="237">
        <v>2023</v>
      </c>
      <c r="D83" s="230">
        <f t="shared" si="17"/>
        <v>0</v>
      </c>
      <c r="E83" s="230"/>
      <c r="F83" s="230"/>
      <c r="G83" s="230"/>
      <c r="H83" s="232"/>
      <c r="I83" s="230">
        <v>0</v>
      </c>
      <c r="J83" s="189"/>
      <c r="K83" s="189"/>
      <c r="L83" s="189"/>
      <c r="M83" s="226"/>
    </row>
    <row r="84" spans="1:13" s="13" customFormat="1" ht="24.75" customHeight="1">
      <c r="A84" s="189" t="s">
        <v>370</v>
      </c>
      <c r="B84" s="189" t="s">
        <v>371</v>
      </c>
      <c r="C84" s="237">
        <v>2017</v>
      </c>
      <c r="D84" s="230">
        <f t="shared" si="17"/>
        <v>0</v>
      </c>
      <c r="E84" s="230"/>
      <c r="F84" s="230"/>
      <c r="G84" s="230"/>
      <c r="H84" s="232"/>
      <c r="I84" s="230">
        <v>0</v>
      </c>
      <c r="J84" s="233"/>
      <c r="K84" s="189" t="s">
        <v>351</v>
      </c>
      <c r="L84" s="189"/>
      <c r="M84" s="226"/>
    </row>
    <row r="85" spans="1:13" s="13" customFormat="1" ht="24" customHeight="1">
      <c r="A85" s="189"/>
      <c r="B85" s="189"/>
      <c r="C85" s="189">
        <v>2018</v>
      </c>
      <c r="D85" s="230">
        <f aca="true" t="shared" si="18" ref="D85:D87">SUM(E85:I85)</f>
        <v>0</v>
      </c>
      <c r="E85" s="230"/>
      <c r="F85" s="230"/>
      <c r="G85" s="230"/>
      <c r="H85" s="232"/>
      <c r="I85" s="230">
        <v>0</v>
      </c>
      <c r="J85" s="233"/>
      <c r="K85" s="189"/>
      <c r="L85" s="189"/>
      <c r="M85" s="226"/>
    </row>
    <row r="86" spans="1:14" s="13" customFormat="1" ht="16.5" customHeight="1">
      <c r="A86" s="189"/>
      <c r="B86" s="189"/>
      <c r="C86" s="189">
        <v>2019</v>
      </c>
      <c r="D86" s="230">
        <f t="shared" si="18"/>
        <v>0</v>
      </c>
      <c r="E86" s="230"/>
      <c r="F86" s="230"/>
      <c r="G86" s="230"/>
      <c r="H86" s="232"/>
      <c r="I86" s="230">
        <v>0</v>
      </c>
      <c r="J86" s="233"/>
      <c r="K86" s="189"/>
      <c r="L86" s="189"/>
      <c r="M86" s="226"/>
      <c r="N86" s="13" t="s">
        <v>70</v>
      </c>
    </row>
    <row r="87" spans="1:13" s="13" customFormat="1" ht="18" customHeight="1">
      <c r="A87" s="189"/>
      <c r="B87" s="189"/>
      <c r="C87" s="237">
        <v>2020</v>
      </c>
      <c r="D87" s="230">
        <f t="shared" si="18"/>
        <v>0</v>
      </c>
      <c r="E87" s="230"/>
      <c r="F87" s="230"/>
      <c r="G87" s="230"/>
      <c r="H87" s="232"/>
      <c r="I87" s="230">
        <v>0</v>
      </c>
      <c r="J87" s="233"/>
      <c r="K87" s="189"/>
      <c r="L87" s="189"/>
      <c r="M87" s="226"/>
    </row>
    <row r="88" spans="1:13" s="13" customFormat="1" ht="26.25" customHeight="1">
      <c r="A88" s="189"/>
      <c r="B88" s="189"/>
      <c r="C88" s="237">
        <v>2021</v>
      </c>
      <c r="D88" s="230">
        <v>0</v>
      </c>
      <c r="E88" s="230"/>
      <c r="F88" s="230"/>
      <c r="G88" s="230"/>
      <c r="H88" s="232"/>
      <c r="I88" s="230">
        <v>0</v>
      </c>
      <c r="J88" s="189"/>
      <c r="K88" s="189"/>
      <c r="L88" s="189"/>
      <c r="M88" s="226"/>
    </row>
    <row r="89" spans="1:13" s="13" customFormat="1" ht="21" customHeight="1">
      <c r="A89" s="189"/>
      <c r="B89" s="189"/>
      <c r="C89" s="237">
        <v>2022</v>
      </c>
      <c r="D89" s="230">
        <f aca="true" t="shared" si="19" ref="D89:D91">I89</f>
        <v>0</v>
      </c>
      <c r="E89" s="230"/>
      <c r="F89" s="230"/>
      <c r="G89" s="230"/>
      <c r="H89" s="232"/>
      <c r="I89" s="230">
        <v>0</v>
      </c>
      <c r="J89" s="189"/>
      <c r="K89" s="189"/>
      <c r="L89" s="189"/>
      <c r="M89" s="226"/>
    </row>
    <row r="90" spans="1:13" s="13" customFormat="1" ht="18" customHeight="1">
      <c r="A90" s="189"/>
      <c r="B90" s="189"/>
      <c r="C90" s="237">
        <v>2023</v>
      </c>
      <c r="D90" s="230">
        <f t="shared" si="19"/>
        <v>0</v>
      </c>
      <c r="E90" s="230"/>
      <c r="F90" s="230"/>
      <c r="G90" s="230"/>
      <c r="H90" s="232"/>
      <c r="I90" s="230">
        <v>0</v>
      </c>
      <c r="J90" s="189"/>
      <c r="K90" s="189"/>
      <c r="L90" s="189"/>
      <c r="M90" s="226"/>
    </row>
    <row r="91" spans="1:13" s="13" customFormat="1" ht="18" customHeight="1">
      <c r="A91" s="189" t="s">
        <v>372</v>
      </c>
      <c r="B91" s="189" t="s">
        <v>373</v>
      </c>
      <c r="C91" s="237">
        <v>2017</v>
      </c>
      <c r="D91" s="230">
        <f t="shared" si="19"/>
        <v>0</v>
      </c>
      <c r="E91" s="230"/>
      <c r="F91" s="230"/>
      <c r="G91" s="230"/>
      <c r="H91" s="232"/>
      <c r="I91" s="230">
        <v>0</v>
      </c>
      <c r="J91" s="233"/>
      <c r="K91" s="189" t="s">
        <v>351</v>
      </c>
      <c r="L91" s="189"/>
      <c r="M91" s="226"/>
    </row>
    <row r="92" spans="1:13" s="13" customFormat="1" ht="21" customHeight="1">
      <c r="A92" s="189"/>
      <c r="B92" s="189"/>
      <c r="C92" s="189">
        <v>2018</v>
      </c>
      <c r="D92" s="230">
        <f aca="true" t="shared" si="20" ref="D92:D94">SUM(E92:I92)</f>
        <v>0</v>
      </c>
      <c r="E92" s="230"/>
      <c r="F92" s="230"/>
      <c r="G92" s="230"/>
      <c r="H92" s="232"/>
      <c r="I92" s="230">
        <v>0</v>
      </c>
      <c r="J92" s="233"/>
      <c r="K92" s="189"/>
      <c r="L92" s="189"/>
      <c r="M92" s="226"/>
    </row>
    <row r="93" spans="1:16" s="13" customFormat="1" ht="18" customHeight="1">
      <c r="A93" s="189"/>
      <c r="B93" s="189"/>
      <c r="C93" s="189">
        <v>2019</v>
      </c>
      <c r="D93" s="230">
        <f t="shared" si="20"/>
        <v>0</v>
      </c>
      <c r="E93" s="230"/>
      <c r="F93" s="230"/>
      <c r="G93" s="230"/>
      <c r="H93" s="232"/>
      <c r="I93" s="230">
        <v>0</v>
      </c>
      <c r="J93" s="233"/>
      <c r="K93" s="189"/>
      <c r="L93" s="189"/>
      <c r="M93" s="226"/>
      <c r="P93" s="13" t="s">
        <v>70</v>
      </c>
    </row>
    <row r="94" spans="1:13" s="13" customFormat="1" ht="23.25" customHeight="1">
      <c r="A94" s="189"/>
      <c r="B94" s="189"/>
      <c r="C94" s="237">
        <v>2020</v>
      </c>
      <c r="D94" s="230">
        <f t="shared" si="20"/>
        <v>0</v>
      </c>
      <c r="E94" s="230"/>
      <c r="F94" s="230"/>
      <c r="G94" s="230"/>
      <c r="H94" s="232"/>
      <c r="I94" s="230">
        <v>0</v>
      </c>
      <c r="J94" s="233"/>
      <c r="K94" s="189"/>
      <c r="L94" s="189"/>
      <c r="M94" s="226"/>
    </row>
    <row r="95" spans="1:13" s="13" customFormat="1" ht="20.25" customHeight="1">
      <c r="A95" s="189"/>
      <c r="B95" s="189"/>
      <c r="C95" s="237">
        <v>2021</v>
      </c>
      <c r="D95" s="230">
        <v>0</v>
      </c>
      <c r="E95" s="230"/>
      <c r="F95" s="230"/>
      <c r="G95" s="230"/>
      <c r="H95" s="232"/>
      <c r="I95" s="230">
        <v>0</v>
      </c>
      <c r="J95" s="233"/>
      <c r="K95" s="189"/>
      <c r="L95" s="189"/>
      <c r="M95" s="236"/>
    </row>
    <row r="96" spans="1:13" s="13" customFormat="1" ht="18" customHeight="1">
      <c r="A96" s="189"/>
      <c r="B96" s="189"/>
      <c r="C96" s="237">
        <v>2022</v>
      </c>
      <c r="D96" s="230">
        <f aca="true" t="shared" si="21" ref="D96:D98">I96</f>
        <v>0</v>
      </c>
      <c r="E96" s="230"/>
      <c r="F96" s="230"/>
      <c r="G96" s="230"/>
      <c r="H96" s="232"/>
      <c r="I96" s="230">
        <v>0</v>
      </c>
      <c r="J96" s="233"/>
      <c r="K96" s="189"/>
      <c r="L96" s="189"/>
      <c r="M96" s="236"/>
    </row>
    <row r="97" spans="1:13" s="13" customFormat="1" ht="23.25" customHeight="1">
      <c r="A97" s="189"/>
      <c r="B97" s="189"/>
      <c r="C97" s="237">
        <v>2023</v>
      </c>
      <c r="D97" s="230">
        <f t="shared" si="21"/>
        <v>0</v>
      </c>
      <c r="E97" s="230"/>
      <c r="F97" s="230"/>
      <c r="G97" s="230"/>
      <c r="H97" s="232"/>
      <c r="I97" s="230"/>
      <c r="J97" s="238"/>
      <c r="K97" s="189"/>
      <c r="L97" s="189"/>
      <c r="M97" s="236"/>
    </row>
    <row r="98" spans="1:13" s="13" customFormat="1" ht="16.5" customHeight="1">
      <c r="A98" s="189"/>
      <c r="B98" s="228" t="s">
        <v>374</v>
      </c>
      <c r="C98" s="237">
        <v>2017</v>
      </c>
      <c r="D98" s="230">
        <f t="shared" si="21"/>
        <v>13.1</v>
      </c>
      <c r="E98" s="230">
        <v>0</v>
      </c>
      <c r="F98" s="230"/>
      <c r="G98" s="230"/>
      <c r="H98" s="230">
        <v>0</v>
      </c>
      <c r="I98" s="230">
        <f>I18+I26+I42+I49+I56+I63+I70+I77+I84+I91</f>
        <v>13.1</v>
      </c>
      <c r="J98" s="239"/>
      <c r="K98" s="189"/>
      <c r="L98" s="189"/>
      <c r="M98" s="236"/>
    </row>
    <row r="99" spans="1:13" s="13" customFormat="1" ht="15">
      <c r="A99" s="189"/>
      <c r="B99" s="228"/>
      <c r="C99" s="189">
        <v>2018</v>
      </c>
      <c r="D99" s="230">
        <f aca="true" t="shared" si="22" ref="D99:D101">SUM(E99:I99)</f>
        <v>7.25</v>
      </c>
      <c r="E99" s="230">
        <f aca="true" t="shared" si="23" ref="E99:E101">SUM(E19+E27)</f>
        <v>0</v>
      </c>
      <c r="F99" s="230"/>
      <c r="G99" s="230"/>
      <c r="H99" s="230">
        <f aca="true" t="shared" si="24" ref="H99:H101">SUM(H19+H27)</f>
        <v>0</v>
      </c>
      <c r="I99" s="230">
        <f aca="true" t="shared" si="25" ref="I99:I100">SUM(I19+I27+I43+I50+I57+I64+I71+I78+I85+I92)</f>
        <v>7.25</v>
      </c>
      <c r="J99" s="189"/>
      <c r="K99" s="189"/>
      <c r="L99" s="189"/>
      <c r="M99" s="240"/>
    </row>
    <row r="100" spans="1:13" s="13" customFormat="1" ht="15">
      <c r="A100" s="189"/>
      <c r="B100" s="228"/>
      <c r="C100" s="189">
        <v>2019</v>
      </c>
      <c r="D100" s="230">
        <f t="shared" si="22"/>
        <v>13.1</v>
      </c>
      <c r="E100" s="241">
        <f t="shared" si="23"/>
        <v>0</v>
      </c>
      <c r="F100" s="241"/>
      <c r="G100" s="241"/>
      <c r="H100" s="241">
        <f t="shared" si="24"/>
        <v>0</v>
      </c>
      <c r="I100" s="241">
        <f t="shared" si="25"/>
        <v>13.1</v>
      </c>
      <c r="J100" s="189"/>
      <c r="K100" s="189"/>
      <c r="L100" s="189"/>
      <c r="M100" s="240"/>
    </row>
    <row r="101" spans="1:13" s="13" customFormat="1" ht="15">
      <c r="A101" s="189"/>
      <c r="B101" s="228"/>
      <c r="C101" s="237">
        <v>2020</v>
      </c>
      <c r="D101" s="230">
        <f t="shared" si="22"/>
        <v>10.807</v>
      </c>
      <c r="E101" s="230">
        <f t="shared" si="23"/>
        <v>0</v>
      </c>
      <c r="F101" s="230"/>
      <c r="G101" s="230"/>
      <c r="H101" s="230">
        <f t="shared" si="24"/>
        <v>0</v>
      </c>
      <c r="I101" s="43">
        <f>I59+I29</f>
        <v>10.807</v>
      </c>
      <c r="J101" s="189"/>
      <c r="K101" s="189"/>
      <c r="L101" s="189"/>
      <c r="M101" s="240"/>
    </row>
    <row r="102" spans="1:13" s="13" customFormat="1" ht="15">
      <c r="A102" s="189"/>
      <c r="B102" s="228"/>
      <c r="C102" s="237">
        <v>2021</v>
      </c>
      <c r="D102" s="230">
        <f aca="true" t="shared" si="26" ref="D102:D104">I102</f>
        <v>6.4990000000000006</v>
      </c>
      <c r="E102" s="242">
        <v>0</v>
      </c>
      <c r="F102" s="230"/>
      <c r="G102" s="230"/>
      <c r="H102" s="230">
        <v>0</v>
      </c>
      <c r="I102" s="230">
        <f>I30+I39</f>
        <v>6.4990000000000006</v>
      </c>
      <c r="J102" s="189"/>
      <c r="K102" s="189"/>
      <c r="L102" s="189"/>
      <c r="M102" s="240"/>
    </row>
    <row r="103" spans="1:13" s="13" customFormat="1" ht="15">
      <c r="A103" s="189"/>
      <c r="B103" s="228"/>
      <c r="C103" s="237">
        <v>2022</v>
      </c>
      <c r="D103" s="230">
        <f t="shared" si="26"/>
        <v>1.5</v>
      </c>
      <c r="E103" s="230">
        <v>0</v>
      </c>
      <c r="F103" s="230"/>
      <c r="G103" s="230"/>
      <c r="H103" s="230">
        <v>0</v>
      </c>
      <c r="I103" s="230">
        <f>I31</f>
        <v>1.5</v>
      </c>
      <c r="J103" s="189"/>
      <c r="K103" s="189"/>
      <c r="L103" s="189"/>
      <c r="M103" s="240"/>
    </row>
    <row r="104" spans="1:13" s="13" customFormat="1" ht="15">
      <c r="A104" s="189"/>
      <c r="B104" s="228"/>
      <c r="C104" s="237">
        <v>2023</v>
      </c>
      <c r="D104" s="230">
        <f t="shared" si="26"/>
        <v>0</v>
      </c>
      <c r="E104" s="230">
        <v>0</v>
      </c>
      <c r="F104" s="230"/>
      <c r="G104" s="230"/>
      <c r="H104" s="230">
        <v>0</v>
      </c>
      <c r="I104" s="230">
        <f>I24+I41+I32</f>
        <v>0</v>
      </c>
      <c r="J104" s="189"/>
      <c r="K104" s="189"/>
      <c r="L104" s="189"/>
      <c r="M104" s="240"/>
    </row>
    <row r="105" spans="1:13" s="13" customFormat="1" ht="15">
      <c r="A105" s="189"/>
      <c r="B105" s="228"/>
      <c r="C105" s="237">
        <v>2024</v>
      </c>
      <c r="D105" s="230">
        <f>H105+I105</f>
        <v>0</v>
      </c>
      <c r="E105" s="230"/>
      <c r="F105" s="230"/>
      <c r="G105" s="230"/>
      <c r="H105" s="230"/>
      <c r="I105" s="230">
        <f>I33</f>
        <v>0</v>
      </c>
      <c r="J105" s="189"/>
      <c r="K105" s="189"/>
      <c r="L105" s="189"/>
      <c r="M105" s="240"/>
    </row>
    <row r="106" spans="1:13" s="13" customFormat="1" ht="15">
      <c r="A106" s="189"/>
      <c r="B106" s="228"/>
      <c r="C106" s="189" t="s">
        <v>286</v>
      </c>
      <c r="D106" s="243">
        <f>I106</f>
        <v>52.256</v>
      </c>
      <c r="E106" s="243">
        <f>SUM(E99:E101)</f>
        <v>0</v>
      </c>
      <c r="F106" s="243"/>
      <c r="G106" s="243"/>
      <c r="H106" s="243">
        <f>SUM(H99:H101)</f>
        <v>0</v>
      </c>
      <c r="I106" s="243">
        <f>I103+I102+I101+I100+I99+I98+I104+I105</f>
        <v>52.256</v>
      </c>
      <c r="J106" s="189"/>
      <c r="K106" s="189"/>
      <c r="L106" s="189"/>
      <c r="M106" s="240"/>
    </row>
    <row r="107" s="13" customFormat="1" ht="14.25"/>
    <row r="108" s="13" customFormat="1" ht="14.25"/>
    <row r="109" s="13" customFormat="1" ht="14.25"/>
    <row r="110" s="13" customFormat="1" ht="14.25"/>
    <row r="111" s="13" customFormat="1" ht="14.25"/>
    <row r="112" s="13" customFormat="1" ht="14.25"/>
    <row r="113" s="13" customFormat="1" ht="14.25"/>
    <row r="114" s="13" customFormat="1" ht="14.25"/>
    <row r="115" s="13" customFormat="1" ht="14.25"/>
    <row r="116" s="13" customFormat="1" ht="14.25"/>
    <row r="117" s="13" customFormat="1" ht="14.25"/>
    <row r="118" s="13" customFormat="1" ht="14.25"/>
    <row r="119" s="13" customFormat="1" ht="14.25"/>
    <row r="120" s="13" customFormat="1" ht="14.25"/>
    <row r="121" s="13" customFormat="1" ht="14.25"/>
    <row r="122" s="13" customFormat="1" ht="14.25"/>
    <row r="123" s="13" customFormat="1" ht="14.25"/>
    <row r="124" s="13" customFormat="1" ht="14.25"/>
    <row r="125" s="13" customFormat="1" ht="14.25"/>
    <row r="126" s="13" customFormat="1" ht="14.25"/>
    <row r="127" s="13" customFormat="1" ht="14.25"/>
    <row r="128" s="13" customFormat="1" ht="14.25"/>
    <row r="129" s="13" customFormat="1" ht="14.25"/>
    <row r="130" s="13" customFormat="1" ht="14.25"/>
    <row r="131" s="13" customFormat="1" ht="14.25"/>
    <row r="132" s="13" customFormat="1" ht="14.25"/>
    <row r="133" s="13" customFormat="1" ht="14.25"/>
    <row r="134" s="13" customFormat="1" ht="14.25"/>
    <row r="135" s="13" customFormat="1" ht="14.25"/>
    <row r="136" s="13" customFormat="1" ht="14.25"/>
    <row r="137" s="13" customFormat="1" ht="14.25"/>
    <row r="138" s="13" customFormat="1" ht="14.25"/>
    <row r="139" s="13" customFormat="1" ht="14.25"/>
    <row r="140" s="13" customFormat="1" ht="14.25"/>
    <row r="141" s="13" customFormat="1" ht="14.25"/>
    <row r="142" s="13" customFormat="1" ht="14.25"/>
    <row r="143" s="13" customFormat="1" ht="14.25"/>
    <row r="144" s="13" customFormat="1" ht="14.25"/>
    <row r="145" s="13" customFormat="1" ht="14.25"/>
    <row r="146" s="13" customFormat="1" ht="14.25"/>
    <row r="147" s="13" customFormat="1" ht="14.25"/>
    <row r="148" s="13" customFormat="1" ht="14.25"/>
    <row r="149" s="13" customFormat="1" ht="14.25"/>
    <row r="150" s="13" customFormat="1" ht="14.25"/>
    <row r="151" s="13" customFormat="1" ht="14.25"/>
    <row r="152" s="13" customFormat="1" ht="14.25"/>
    <row r="153" s="13" customFormat="1" ht="14.25"/>
    <row r="154" s="13" customFormat="1" ht="14.25"/>
    <row r="155" s="13" customFormat="1" ht="14.25"/>
    <row r="156" s="13" customFormat="1" ht="14.25"/>
    <row r="157" s="13" customFormat="1" ht="14.25"/>
    <row r="158" s="13" customFormat="1" ht="14.25"/>
    <row r="159" s="13" customFormat="1" ht="14.25"/>
    <row r="160" s="13" customFormat="1" ht="14.25"/>
    <row r="161" s="13" customFormat="1" ht="14.25"/>
    <row r="162" s="13" customFormat="1" ht="14.25"/>
    <row r="163" s="13" customFormat="1" ht="14.25"/>
    <row r="164" s="13" customFormat="1" ht="14.25"/>
    <row r="165" s="13" customFormat="1" ht="14.25"/>
    <row r="166" s="13" customFormat="1" ht="14.25"/>
    <row r="167" s="13" customFormat="1" ht="14.25"/>
    <row r="168" s="13" customFormat="1" ht="14.25"/>
    <row r="169" s="13" customFormat="1" ht="14.25"/>
    <row r="170" s="13" customFormat="1" ht="14.25"/>
    <row r="171" s="13" customFormat="1" ht="14.25"/>
    <row r="172" s="13" customFormat="1" ht="14.25"/>
    <row r="173" s="13" customFormat="1" ht="14.25"/>
    <row r="174" s="13" customFormat="1" ht="14.25"/>
    <row r="175" s="13" customFormat="1" ht="14.25"/>
    <row r="176" s="13" customFormat="1" ht="14.25"/>
    <row r="177" s="13" customFormat="1" ht="14.25"/>
    <row r="178" s="13" customFormat="1" ht="14.25"/>
    <row r="179" s="13" customFormat="1" ht="14.25"/>
    <row r="180" s="13" customFormat="1" ht="14.25"/>
    <row r="181" s="13" customFormat="1" ht="14.25"/>
    <row r="182" s="13" customFormat="1" ht="14.25"/>
    <row r="183" s="13" customFormat="1" ht="14.25"/>
    <row r="184" s="13" customFormat="1" ht="14.25"/>
    <row r="185" s="13" customFormat="1" ht="14.25"/>
    <row r="186" s="13" customFormat="1" ht="14.25"/>
    <row r="187" s="13" customFormat="1" ht="14.25"/>
    <row r="188" s="13" customFormat="1" ht="14.25"/>
    <row r="189" s="13" customFormat="1" ht="14.25"/>
    <row r="190" s="13" customFormat="1" ht="14.25"/>
    <row r="191" s="13" customFormat="1" ht="14.25"/>
    <row r="192" s="13" customFormat="1" ht="14.25"/>
    <row r="193" s="13" customFormat="1" ht="14.25"/>
    <row r="194" s="13" customFormat="1" ht="14.25"/>
    <row r="195" s="13" customFormat="1" ht="14.25"/>
    <row r="196" s="13" customFormat="1" ht="14.25"/>
    <row r="197" s="13" customFormat="1" ht="14.25"/>
    <row r="198" s="13" customFormat="1" ht="14.25"/>
    <row r="199" spans="1:13" ht="14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4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4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4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4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4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4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4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4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4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4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4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4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4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4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4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4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4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4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4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4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4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4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4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4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4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4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4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4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4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4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4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4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4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4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4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4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4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4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4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4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4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4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4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4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4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4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4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4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4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4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4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4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4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4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4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4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4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4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4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4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4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4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4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4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4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4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4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4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4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4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4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4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4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</sheetData>
  <sheetProtection selectLockedCells="1" selectUnlockedCells="1"/>
  <mergeCells count="64">
    <mergeCell ref="B2:M2"/>
    <mergeCell ref="K3:M3"/>
    <mergeCell ref="K4:M4"/>
    <mergeCell ref="L5:M5"/>
    <mergeCell ref="A8:M8"/>
    <mergeCell ref="A9:A14"/>
    <mergeCell ref="B9:B14"/>
    <mergeCell ref="C9:C14"/>
    <mergeCell ref="D9:D14"/>
    <mergeCell ref="E9:I10"/>
    <mergeCell ref="J9:J14"/>
    <mergeCell ref="K9:L14"/>
    <mergeCell ref="M9:M14"/>
    <mergeCell ref="E11:E14"/>
    <mergeCell ref="F11:I11"/>
    <mergeCell ref="F12:H12"/>
    <mergeCell ref="I12:I14"/>
    <mergeCell ref="F13:F14"/>
    <mergeCell ref="G13:H13"/>
    <mergeCell ref="K15:L15"/>
    <mergeCell ref="A16:M16"/>
    <mergeCell ref="A17:M17"/>
    <mergeCell ref="A18:A24"/>
    <mergeCell ref="B18:B24"/>
    <mergeCell ref="K18:L24"/>
    <mergeCell ref="M18:M24"/>
    <mergeCell ref="A25:M25"/>
    <mergeCell ref="A26:A33"/>
    <mergeCell ref="B26:B33"/>
    <mergeCell ref="K26:L32"/>
    <mergeCell ref="M26:M32"/>
    <mergeCell ref="A34:M34"/>
    <mergeCell ref="A35:A41"/>
    <mergeCell ref="B35:B41"/>
    <mergeCell ref="K35:L41"/>
    <mergeCell ref="M35:M94"/>
    <mergeCell ref="A42:A48"/>
    <mergeCell ref="B42:B48"/>
    <mergeCell ref="K42:L48"/>
    <mergeCell ref="A49:A55"/>
    <mergeCell ref="B49:B55"/>
    <mergeCell ref="K49:L55"/>
    <mergeCell ref="A56:A62"/>
    <mergeCell ref="B56:B62"/>
    <mergeCell ref="K56:L62"/>
    <mergeCell ref="A63:A69"/>
    <mergeCell ref="B63:B69"/>
    <mergeCell ref="K63:L69"/>
    <mergeCell ref="A70:A76"/>
    <mergeCell ref="B70:B76"/>
    <mergeCell ref="K70:L76"/>
    <mergeCell ref="A77:A83"/>
    <mergeCell ref="B77:B83"/>
    <mergeCell ref="K77:L83"/>
    <mergeCell ref="A84:A90"/>
    <mergeCell ref="B84:B90"/>
    <mergeCell ref="K84:L90"/>
    <mergeCell ref="A91:A97"/>
    <mergeCell ref="B91:B97"/>
    <mergeCell ref="K91:L98"/>
    <mergeCell ref="A98:A106"/>
    <mergeCell ref="B98:B106"/>
    <mergeCell ref="K99:L106"/>
    <mergeCell ref="M99:M106"/>
  </mergeCells>
  <printOptions/>
  <pageMargins left="0.7083333333333334" right="0.7083333333333334" top="0.7479166666666667" bottom="0.7479166666666667" header="0.5118055555555555" footer="0.5118055555555555"/>
  <pageSetup fitToHeight="8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7" max="7" width="9.140625" style="0" customWidth="1"/>
    <col min="8" max="8" width="8.00390625" style="0" customWidth="1"/>
    <col min="9" max="9" width="12.710937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s="13" customFormat="1" ht="14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2" s="13" customFormat="1" ht="15">
      <c r="A2" s="219" t="s">
        <v>375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13" customFormat="1" ht="16.5" customHeight="1">
      <c r="A3" s="220"/>
      <c r="B3" s="220"/>
      <c r="C3" s="220"/>
      <c r="D3" s="220"/>
      <c r="E3" s="220"/>
      <c r="F3" s="220"/>
      <c r="G3" s="220"/>
      <c r="H3" s="220"/>
      <c r="I3" s="220"/>
      <c r="J3" s="245" t="s">
        <v>335</v>
      </c>
      <c r="K3" s="245"/>
      <c r="L3" s="245"/>
    </row>
    <row r="4" spans="1:12" s="13" customFormat="1" ht="32.25" customHeight="1">
      <c r="A4" s="220"/>
      <c r="B4" s="220"/>
      <c r="C4" s="220"/>
      <c r="D4" s="220"/>
      <c r="E4" s="220"/>
      <c r="F4" s="220"/>
      <c r="G4" s="220"/>
      <c r="H4" s="220"/>
      <c r="I4" s="220"/>
      <c r="J4" s="221"/>
      <c r="K4" s="221"/>
      <c r="L4" s="221"/>
    </row>
    <row r="5" spans="1:12" s="13" customFormat="1" ht="32.25" customHeight="1">
      <c r="A5" s="220"/>
      <c r="B5" s="220"/>
      <c r="C5" s="220"/>
      <c r="D5" s="220"/>
      <c r="E5" s="220"/>
      <c r="F5" s="220"/>
      <c r="G5" s="220"/>
      <c r="H5" s="220"/>
      <c r="I5" s="220"/>
      <c r="J5" s="221"/>
      <c r="K5" s="221"/>
      <c r="L5" s="221"/>
    </row>
    <row r="6" spans="1:14" s="13" customFormat="1" ht="15" customHeight="1">
      <c r="A6" s="246" t="s">
        <v>376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="13" customFormat="1" ht="31.5" customHeight="1"/>
    <row r="8" spans="1:12" s="13" customFormat="1" ht="15.75" customHeight="1">
      <c r="A8" s="247" t="s">
        <v>2</v>
      </c>
      <c r="B8" s="248" t="s">
        <v>339</v>
      </c>
      <c r="C8" s="249" t="s">
        <v>4</v>
      </c>
      <c r="D8" s="248" t="s">
        <v>377</v>
      </c>
      <c r="E8" s="250" t="s">
        <v>292</v>
      </c>
      <c r="F8" s="250"/>
      <c r="G8" s="250"/>
      <c r="H8" s="250"/>
      <c r="I8" s="250"/>
      <c r="J8" s="248" t="s">
        <v>41</v>
      </c>
      <c r="K8" s="248" t="s">
        <v>378</v>
      </c>
      <c r="L8" s="248" t="s">
        <v>379</v>
      </c>
    </row>
    <row r="9" spans="1:12" s="13" customFormat="1" ht="15.75" customHeight="1">
      <c r="A9" s="247"/>
      <c r="B9" s="248"/>
      <c r="C9" s="249"/>
      <c r="D9" s="248"/>
      <c r="E9" s="251" t="s">
        <v>44</v>
      </c>
      <c r="F9" s="251" t="s">
        <v>380</v>
      </c>
      <c r="G9" s="251"/>
      <c r="H9" s="251"/>
      <c r="I9" s="252" t="s">
        <v>46</v>
      </c>
      <c r="J9" s="248"/>
      <c r="K9" s="248"/>
      <c r="L9" s="248"/>
    </row>
    <row r="10" spans="1:12" s="13" customFormat="1" ht="15.75" customHeight="1">
      <c r="A10" s="247"/>
      <c r="B10" s="248"/>
      <c r="C10" s="249"/>
      <c r="D10" s="248"/>
      <c r="E10" s="251"/>
      <c r="F10" s="253" t="s">
        <v>344</v>
      </c>
      <c r="G10" s="253"/>
      <c r="H10" s="253"/>
      <c r="I10" s="252"/>
      <c r="J10" s="248"/>
      <c r="K10" s="248"/>
      <c r="L10" s="248"/>
    </row>
    <row r="11" spans="1:12" s="13" customFormat="1" ht="15.75" customHeight="1">
      <c r="A11" s="247"/>
      <c r="B11" s="248"/>
      <c r="C11" s="249"/>
      <c r="D11" s="248"/>
      <c r="E11" s="251"/>
      <c r="F11" s="251" t="s">
        <v>13</v>
      </c>
      <c r="G11" s="251" t="s">
        <v>14</v>
      </c>
      <c r="H11" s="251"/>
      <c r="I11" s="252"/>
      <c r="J11" s="248"/>
      <c r="K11" s="248"/>
      <c r="L11" s="248"/>
    </row>
    <row r="12" spans="1:12" s="13" customFormat="1" ht="84" customHeight="1">
      <c r="A12" s="247"/>
      <c r="B12" s="248"/>
      <c r="C12" s="249"/>
      <c r="D12" s="248"/>
      <c r="E12" s="251"/>
      <c r="F12" s="251"/>
      <c r="G12" s="251" t="s">
        <v>15</v>
      </c>
      <c r="H12" s="251" t="s">
        <v>381</v>
      </c>
      <c r="I12" s="252"/>
      <c r="J12" s="248"/>
      <c r="K12" s="248"/>
      <c r="L12" s="248"/>
    </row>
    <row r="13" spans="1:12" s="13" customFormat="1" ht="15.75">
      <c r="A13" s="254">
        <v>1</v>
      </c>
      <c r="B13" s="255">
        <v>2</v>
      </c>
      <c r="C13" s="255">
        <v>3</v>
      </c>
      <c r="D13" s="255">
        <v>4</v>
      </c>
      <c r="E13" s="255">
        <v>5</v>
      </c>
      <c r="F13" s="255"/>
      <c r="G13" s="255">
        <v>6</v>
      </c>
      <c r="H13" s="255"/>
      <c r="I13" s="255">
        <v>7</v>
      </c>
      <c r="J13" s="255">
        <v>8</v>
      </c>
      <c r="K13" s="255">
        <v>9</v>
      </c>
      <c r="L13" s="255">
        <v>10</v>
      </c>
    </row>
    <row r="14" spans="1:12" s="13" customFormat="1" ht="37.5" customHeight="1">
      <c r="A14" s="248" t="s">
        <v>382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</row>
    <row r="15" spans="1:12" s="13" customFormat="1" ht="72" customHeight="1">
      <c r="A15" s="256" t="s">
        <v>383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</row>
    <row r="16" spans="1:12" s="13" customFormat="1" ht="143.25" customHeight="1">
      <c r="A16" s="257" t="s">
        <v>384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</row>
    <row r="17" spans="1:12" s="13" customFormat="1" ht="28.5" customHeight="1">
      <c r="A17" s="258" t="s">
        <v>22</v>
      </c>
      <c r="B17" s="251" t="s">
        <v>385</v>
      </c>
      <c r="C17" s="251">
        <v>2020</v>
      </c>
      <c r="D17" s="259">
        <f aca="true" t="shared" si="0" ref="D17:D47">I17</f>
        <v>6.14</v>
      </c>
      <c r="E17" s="260"/>
      <c r="F17" s="260"/>
      <c r="G17" s="260"/>
      <c r="H17" s="260"/>
      <c r="I17" s="259">
        <v>6.14</v>
      </c>
      <c r="J17" s="253"/>
      <c r="K17" s="251" t="s">
        <v>54</v>
      </c>
      <c r="L17" s="261" t="s">
        <v>386</v>
      </c>
    </row>
    <row r="18" spans="1:12" s="13" customFormat="1" ht="15.75" customHeight="1">
      <c r="A18" s="258"/>
      <c r="B18" s="251"/>
      <c r="C18" s="251">
        <v>2021</v>
      </c>
      <c r="D18" s="259">
        <f t="shared" si="0"/>
        <v>104</v>
      </c>
      <c r="E18" s="260"/>
      <c r="F18" s="260"/>
      <c r="G18" s="260"/>
      <c r="H18" s="260"/>
      <c r="I18" s="259">
        <f>50+54</f>
        <v>104</v>
      </c>
      <c r="J18" s="253"/>
      <c r="K18" s="251"/>
      <c r="L18" s="261"/>
    </row>
    <row r="19" spans="1:12" s="13" customFormat="1" ht="21" customHeight="1">
      <c r="A19" s="258"/>
      <c r="B19" s="251"/>
      <c r="C19" s="262">
        <v>2022</v>
      </c>
      <c r="D19" s="259">
        <f t="shared" si="0"/>
        <v>50</v>
      </c>
      <c r="E19" s="49"/>
      <c r="F19" s="49"/>
      <c r="G19" s="49"/>
      <c r="H19" s="49"/>
      <c r="I19" s="259">
        <v>50</v>
      </c>
      <c r="J19" s="263"/>
      <c r="K19" s="263"/>
      <c r="L19" s="261"/>
    </row>
    <row r="20" spans="1:12" s="13" customFormat="1" ht="21" customHeight="1">
      <c r="A20" s="258"/>
      <c r="B20" s="251"/>
      <c r="C20" s="262">
        <v>2023</v>
      </c>
      <c r="D20" s="259">
        <f t="shared" si="0"/>
        <v>50</v>
      </c>
      <c r="E20" s="49"/>
      <c r="F20" s="49"/>
      <c r="G20" s="49"/>
      <c r="H20" s="49"/>
      <c r="I20" s="259">
        <v>50</v>
      </c>
      <c r="J20" s="263"/>
      <c r="K20" s="263"/>
      <c r="L20" s="261"/>
    </row>
    <row r="21" spans="1:12" s="13" customFormat="1" ht="21" customHeight="1">
      <c r="A21" s="258"/>
      <c r="B21" s="251"/>
      <c r="C21" s="262">
        <v>2024</v>
      </c>
      <c r="D21" s="259">
        <f t="shared" si="0"/>
        <v>50</v>
      </c>
      <c r="E21" s="49"/>
      <c r="F21" s="49"/>
      <c r="G21" s="49"/>
      <c r="H21" s="49"/>
      <c r="I21" s="259">
        <v>50</v>
      </c>
      <c r="J21" s="263"/>
      <c r="K21" s="263"/>
      <c r="L21" s="261"/>
    </row>
    <row r="22" spans="1:12" s="13" customFormat="1" ht="21" customHeight="1">
      <c r="A22" s="264" t="s">
        <v>26</v>
      </c>
      <c r="B22" s="251" t="s">
        <v>387</v>
      </c>
      <c r="C22" s="251">
        <v>2020</v>
      </c>
      <c r="D22" s="259">
        <f t="shared" si="0"/>
        <v>0</v>
      </c>
      <c r="E22" s="49"/>
      <c r="F22" s="49"/>
      <c r="G22" s="49"/>
      <c r="H22" s="49"/>
      <c r="I22" s="259">
        <v>0</v>
      </c>
      <c r="J22" s="263"/>
      <c r="K22" s="263"/>
      <c r="L22" s="261"/>
    </row>
    <row r="23" spans="1:12" s="13" customFormat="1" ht="19.5" customHeight="1">
      <c r="A23" s="264"/>
      <c r="B23" s="251"/>
      <c r="C23" s="251">
        <v>2021</v>
      </c>
      <c r="D23" s="259">
        <f t="shared" si="0"/>
        <v>0</v>
      </c>
      <c r="E23" s="49"/>
      <c r="F23" s="49"/>
      <c r="G23" s="49"/>
      <c r="H23" s="49"/>
      <c r="I23" s="259">
        <v>0</v>
      </c>
      <c r="J23" s="263"/>
      <c r="K23" s="263"/>
      <c r="L23" s="261"/>
    </row>
    <row r="24" spans="1:12" s="13" customFormat="1" ht="21" customHeight="1">
      <c r="A24" s="264"/>
      <c r="B24" s="251"/>
      <c r="C24" s="262">
        <v>2022</v>
      </c>
      <c r="D24" s="259">
        <f t="shared" si="0"/>
        <v>0</v>
      </c>
      <c r="E24" s="49"/>
      <c r="F24" s="49"/>
      <c r="G24" s="49"/>
      <c r="H24" s="49"/>
      <c r="I24" s="259">
        <v>0</v>
      </c>
      <c r="J24" s="263"/>
      <c r="K24" s="263"/>
      <c r="L24" s="261"/>
    </row>
    <row r="25" spans="1:12" s="13" customFormat="1" ht="21" customHeight="1">
      <c r="A25" s="264"/>
      <c r="B25" s="251"/>
      <c r="C25" s="262">
        <v>2023</v>
      </c>
      <c r="D25" s="259">
        <f t="shared" si="0"/>
        <v>0</v>
      </c>
      <c r="E25" s="49"/>
      <c r="F25" s="49"/>
      <c r="G25" s="49"/>
      <c r="H25" s="49"/>
      <c r="I25" s="259"/>
      <c r="J25" s="263"/>
      <c r="K25" s="263"/>
      <c r="L25" s="261"/>
    </row>
    <row r="26" spans="1:12" s="13" customFormat="1" ht="21" customHeight="1">
      <c r="A26" s="264" t="s">
        <v>29</v>
      </c>
      <c r="B26" s="227" t="s">
        <v>388</v>
      </c>
      <c r="C26" s="251">
        <v>2020</v>
      </c>
      <c r="D26" s="259">
        <f t="shared" si="0"/>
        <v>0</v>
      </c>
      <c r="E26" s="49"/>
      <c r="F26" s="49"/>
      <c r="G26" s="49"/>
      <c r="H26" s="49"/>
      <c r="I26" s="259">
        <v>0</v>
      </c>
      <c r="J26" s="263"/>
      <c r="K26" s="263"/>
      <c r="L26" s="261"/>
    </row>
    <row r="27" spans="1:12" s="13" customFormat="1" ht="19.5" customHeight="1">
      <c r="A27" s="264"/>
      <c r="B27" s="227"/>
      <c r="C27" s="251">
        <v>2021</v>
      </c>
      <c r="D27" s="259">
        <f t="shared" si="0"/>
        <v>0</v>
      </c>
      <c r="E27" s="49"/>
      <c r="F27" s="49"/>
      <c r="G27" s="49"/>
      <c r="H27" s="49"/>
      <c r="I27" s="259">
        <v>0</v>
      </c>
      <c r="J27" s="263"/>
      <c r="K27" s="263"/>
      <c r="L27" s="261"/>
    </row>
    <row r="28" spans="1:12" s="13" customFormat="1" ht="24" customHeight="1">
      <c r="A28" s="264"/>
      <c r="B28" s="227"/>
      <c r="C28" s="262">
        <v>2022</v>
      </c>
      <c r="D28" s="259">
        <f t="shared" si="0"/>
        <v>0</v>
      </c>
      <c r="E28" s="49"/>
      <c r="F28" s="49"/>
      <c r="G28" s="49"/>
      <c r="H28" s="49"/>
      <c r="I28" s="259">
        <v>0</v>
      </c>
      <c r="J28" s="263"/>
      <c r="K28" s="263"/>
      <c r="L28" s="261"/>
    </row>
    <row r="29" spans="1:12" s="13" customFormat="1" ht="24" customHeight="1">
      <c r="A29" s="264"/>
      <c r="B29" s="227"/>
      <c r="C29" s="262">
        <v>2023</v>
      </c>
      <c r="D29" s="259">
        <f t="shared" si="0"/>
        <v>0</v>
      </c>
      <c r="E29" s="49"/>
      <c r="F29" s="49"/>
      <c r="G29" s="49"/>
      <c r="H29" s="49"/>
      <c r="I29" s="259"/>
      <c r="J29" s="263"/>
      <c r="K29" s="263"/>
      <c r="L29" s="261"/>
    </row>
    <row r="30" spans="1:12" s="13" customFormat="1" ht="24" customHeight="1">
      <c r="A30" s="264" t="s">
        <v>31</v>
      </c>
      <c r="B30" s="251" t="s">
        <v>389</v>
      </c>
      <c r="C30" s="251">
        <v>2020</v>
      </c>
      <c r="D30" s="259">
        <f t="shared" si="0"/>
        <v>0</v>
      </c>
      <c r="E30" s="49"/>
      <c r="F30" s="49"/>
      <c r="G30" s="49"/>
      <c r="H30" s="49"/>
      <c r="I30" s="259">
        <v>0</v>
      </c>
      <c r="J30" s="263"/>
      <c r="K30" s="263"/>
      <c r="L30" s="261"/>
    </row>
    <row r="31" spans="1:12" s="13" customFormat="1" ht="21.75" customHeight="1">
      <c r="A31" s="264"/>
      <c r="B31" s="251"/>
      <c r="C31" s="251">
        <v>2021</v>
      </c>
      <c r="D31" s="259">
        <f t="shared" si="0"/>
        <v>0</v>
      </c>
      <c r="E31" s="49"/>
      <c r="F31" s="49"/>
      <c r="G31" s="49"/>
      <c r="H31" s="49"/>
      <c r="I31" s="259">
        <v>0</v>
      </c>
      <c r="J31" s="263"/>
      <c r="K31" s="263"/>
      <c r="L31" s="261"/>
    </row>
    <row r="32" spans="1:12" s="13" customFormat="1" ht="25.5" customHeight="1">
      <c r="A32" s="264"/>
      <c r="B32" s="251"/>
      <c r="C32" s="262">
        <v>2022</v>
      </c>
      <c r="D32" s="259">
        <f t="shared" si="0"/>
        <v>0</v>
      </c>
      <c r="E32" s="49"/>
      <c r="F32" s="49"/>
      <c r="G32" s="49"/>
      <c r="H32" s="49"/>
      <c r="I32" s="259">
        <v>0</v>
      </c>
      <c r="J32" s="263"/>
      <c r="K32" s="263"/>
      <c r="L32" s="261"/>
    </row>
    <row r="33" spans="1:12" s="13" customFormat="1" ht="25.5" customHeight="1">
      <c r="A33" s="264"/>
      <c r="B33" s="251"/>
      <c r="C33" s="262">
        <v>2023</v>
      </c>
      <c r="D33" s="259">
        <f t="shared" si="0"/>
        <v>0</v>
      </c>
      <c r="E33" s="49"/>
      <c r="F33" s="49"/>
      <c r="G33" s="49"/>
      <c r="H33" s="49"/>
      <c r="I33" s="259">
        <v>0</v>
      </c>
      <c r="J33" s="263"/>
      <c r="K33" s="263"/>
      <c r="L33" s="261"/>
    </row>
    <row r="34" spans="1:12" s="13" customFormat="1" ht="25.5" customHeight="1">
      <c r="A34" s="264" t="s">
        <v>62</v>
      </c>
      <c r="B34" s="227" t="s">
        <v>390</v>
      </c>
      <c r="C34" s="251">
        <v>2020</v>
      </c>
      <c r="D34" s="259">
        <f t="shared" si="0"/>
        <v>0</v>
      </c>
      <c r="E34" s="49"/>
      <c r="F34" s="49"/>
      <c r="G34" s="49"/>
      <c r="H34" s="49"/>
      <c r="I34" s="259">
        <v>0</v>
      </c>
      <c r="J34" s="263"/>
      <c r="K34" s="263"/>
      <c r="L34" s="261"/>
    </row>
    <row r="35" spans="1:12" s="13" customFormat="1" ht="25.5" customHeight="1">
      <c r="A35" s="264"/>
      <c r="B35" s="227"/>
      <c r="C35" s="251">
        <v>2021</v>
      </c>
      <c r="D35" s="259">
        <f t="shared" si="0"/>
        <v>0</v>
      </c>
      <c r="E35" s="49"/>
      <c r="F35" s="49"/>
      <c r="G35" s="49"/>
      <c r="H35" s="49"/>
      <c r="I35" s="259">
        <v>0</v>
      </c>
      <c r="J35" s="263"/>
      <c r="K35" s="263"/>
      <c r="L35" s="261"/>
    </row>
    <row r="36" spans="1:12" s="13" customFormat="1" ht="24" customHeight="1">
      <c r="A36" s="264"/>
      <c r="B36" s="227"/>
      <c r="C36" s="262">
        <v>2020</v>
      </c>
      <c r="D36" s="259">
        <f t="shared" si="0"/>
        <v>0</v>
      </c>
      <c r="E36" s="49"/>
      <c r="F36" s="49"/>
      <c r="G36" s="49"/>
      <c r="H36" s="49"/>
      <c r="I36" s="259">
        <v>0</v>
      </c>
      <c r="J36" s="263"/>
      <c r="K36" s="263"/>
      <c r="L36" s="261"/>
    </row>
    <row r="37" spans="1:12" s="13" customFormat="1" ht="24" customHeight="1">
      <c r="A37" s="264"/>
      <c r="B37" s="227"/>
      <c r="C37" s="265">
        <v>2023</v>
      </c>
      <c r="D37" s="259">
        <f t="shared" si="0"/>
        <v>0</v>
      </c>
      <c r="E37" s="49"/>
      <c r="F37" s="49"/>
      <c r="G37" s="49"/>
      <c r="H37" s="49"/>
      <c r="I37" s="259">
        <v>0</v>
      </c>
      <c r="J37" s="263"/>
      <c r="K37" s="263"/>
      <c r="L37" s="261"/>
    </row>
    <row r="38" spans="1:12" s="13" customFormat="1" ht="24" customHeight="1">
      <c r="A38" s="264" t="s">
        <v>66</v>
      </c>
      <c r="B38" s="251" t="s">
        <v>391</v>
      </c>
      <c r="C38" s="251">
        <v>2020</v>
      </c>
      <c r="D38" s="259">
        <f t="shared" si="0"/>
        <v>0</v>
      </c>
      <c r="E38" s="49"/>
      <c r="F38" s="49"/>
      <c r="G38" s="49"/>
      <c r="H38" s="49"/>
      <c r="I38" s="259">
        <v>0</v>
      </c>
      <c r="J38" s="263"/>
      <c r="K38" s="263"/>
      <c r="L38" s="261"/>
    </row>
    <row r="39" spans="1:12" s="13" customFormat="1" ht="24" customHeight="1">
      <c r="A39" s="264"/>
      <c r="B39" s="251"/>
      <c r="C39" s="251">
        <v>2021</v>
      </c>
      <c r="D39" s="259">
        <f t="shared" si="0"/>
        <v>0</v>
      </c>
      <c r="E39" s="49"/>
      <c r="F39" s="49"/>
      <c r="G39" s="49"/>
      <c r="H39" s="49"/>
      <c r="I39" s="259">
        <v>0</v>
      </c>
      <c r="J39" s="263"/>
      <c r="K39" s="263"/>
      <c r="L39" s="261"/>
    </row>
    <row r="40" spans="1:12" s="13" customFormat="1" ht="21" customHeight="1">
      <c r="A40" s="264"/>
      <c r="B40" s="251"/>
      <c r="C40" s="262">
        <v>2022</v>
      </c>
      <c r="D40" s="259">
        <f t="shared" si="0"/>
        <v>0</v>
      </c>
      <c r="E40" s="49"/>
      <c r="F40" s="49"/>
      <c r="G40" s="49"/>
      <c r="H40" s="49"/>
      <c r="I40" s="259">
        <v>0</v>
      </c>
      <c r="J40" s="263"/>
      <c r="K40" s="263"/>
      <c r="L40" s="261"/>
    </row>
    <row r="41" spans="1:12" s="13" customFormat="1" ht="21" customHeight="1">
      <c r="A41" s="264"/>
      <c r="B41" s="251"/>
      <c r="C41" s="262">
        <v>2023</v>
      </c>
      <c r="D41" s="259">
        <f t="shared" si="0"/>
        <v>0</v>
      </c>
      <c r="E41" s="49"/>
      <c r="F41" s="49"/>
      <c r="G41" s="49"/>
      <c r="H41" s="49"/>
      <c r="I41" s="259">
        <v>0</v>
      </c>
      <c r="J41" s="263"/>
      <c r="K41" s="263"/>
      <c r="L41" s="261"/>
    </row>
    <row r="42" spans="1:12" s="13" customFormat="1" ht="21" customHeight="1">
      <c r="A42" s="266" t="s">
        <v>392</v>
      </c>
      <c r="B42" s="266"/>
      <c r="C42" s="251">
        <v>2020</v>
      </c>
      <c r="D42" s="259">
        <f t="shared" si="0"/>
        <v>6.14</v>
      </c>
      <c r="E42" s="49"/>
      <c r="F42" s="49"/>
      <c r="G42" s="49"/>
      <c r="H42" s="49"/>
      <c r="I42" s="259">
        <f aca="true" t="shared" si="1" ref="I42:I46">I17</f>
        <v>6.14</v>
      </c>
      <c r="J42" s="263"/>
      <c r="K42" s="263"/>
      <c r="L42" s="261"/>
    </row>
    <row r="43" spans="1:12" s="13" customFormat="1" ht="21" customHeight="1">
      <c r="A43" s="266"/>
      <c r="B43" s="266"/>
      <c r="C43" s="251">
        <v>2021</v>
      </c>
      <c r="D43" s="259">
        <f t="shared" si="0"/>
        <v>104</v>
      </c>
      <c r="E43" s="49"/>
      <c r="F43" s="49"/>
      <c r="G43" s="49"/>
      <c r="H43" s="49"/>
      <c r="I43" s="259">
        <f t="shared" si="1"/>
        <v>104</v>
      </c>
      <c r="J43" s="263"/>
      <c r="K43" s="263"/>
      <c r="L43" s="261"/>
    </row>
    <row r="44" spans="1:12" s="13" customFormat="1" ht="21" customHeight="1">
      <c r="A44" s="266"/>
      <c r="B44" s="266"/>
      <c r="C44" s="262">
        <v>2022</v>
      </c>
      <c r="D44" s="259">
        <f t="shared" si="0"/>
        <v>50</v>
      </c>
      <c r="E44" s="49"/>
      <c r="F44" s="49"/>
      <c r="G44" s="49"/>
      <c r="H44" s="49"/>
      <c r="I44" s="259">
        <f t="shared" si="1"/>
        <v>50</v>
      </c>
      <c r="J44" s="263"/>
      <c r="K44" s="263"/>
      <c r="L44" s="261"/>
    </row>
    <row r="45" spans="1:12" s="13" customFormat="1" ht="21" customHeight="1">
      <c r="A45" s="266"/>
      <c r="B45" s="266"/>
      <c r="C45" s="262">
        <v>2023</v>
      </c>
      <c r="D45" s="259">
        <f t="shared" si="0"/>
        <v>50</v>
      </c>
      <c r="E45" s="49"/>
      <c r="F45" s="49"/>
      <c r="G45" s="49"/>
      <c r="H45" s="49"/>
      <c r="I45" s="259">
        <f t="shared" si="1"/>
        <v>50</v>
      </c>
      <c r="J45" s="263"/>
      <c r="K45" s="263"/>
      <c r="L45" s="261"/>
    </row>
    <row r="46" spans="1:12" s="13" customFormat="1" ht="21" customHeight="1">
      <c r="A46" s="266"/>
      <c r="B46" s="266"/>
      <c r="C46" s="262">
        <v>2024</v>
      </c>
      <c r="D46" s="259">
        <f t="shared" si="0"/>
        <v>50</v>
      </c>
      <c r="E46" s="49"/>
      <c r="F46" s="49"/>
      <c r="G46" s="49"/>
      <c r="H46" s="49"/>
      <c r="I46" s="259">
        <f t="shared" si="1"/>
        <v>50</v>
      </c>
      <c r="J46" s="263"/>
      <c r="K46" s="263"/>
      <c r="L46" s="261"/>
    </row>
    <row r="47" spans="1:12" s="13" customFormat="1" ht="69.75" customHeight="1">
      <c r="A47" s="267" t="s">
        <v>393</v>
      </c>
      <c r="B47" s="267"/>
      <c r="C47" s="268" t="s">
        <v>394</v>
      </c>
      <c r="D47" s="46">
        <f t="shared" si="0"/>
        <v>260.14</v>
      </c>
      <c r="E47" s="46"/>
      <c r="F47" s="46"/>
      <c r="G47" s="46"/>
      <c r="H47" s="46"/>
      <c r="I47" s="46">
        <f>SUM(I42:I46)</f>
        <v>260.14</v>
      </c>
      <c r="J47" s="263"/>
      <c r="K47" s="263"/>
      <c r="L47" s="261"/>
    </row>
    <row r="48" spans="1:4" s="13" customFormat="1" ht="14.25" customHeight="1">
      <c r="A48" s="269"/>
      <c r="B48" s="270"/>
      <c r="C48" s="270"/>
      <c r="D48" s="269"/>
    </row>
    <row r="49" spans="1:4" s="13" customFormat="1" ht="14.25" customHeight="1">
      <c r="A49" s="269"/>
      <c r="B49" s="270"/>
      <c r="C49" s="270"/>
      <c r="D49" s="269"/>
    </row>
    <row r="50" spans="1:4" s="13" customFormat="1" ht="14.25" customHeight="1">
      <c r="A50" s="269"/>
      <c r="B50" s="270"/>
      <c r="C50" s="270"/>
      <c r="D50" s="269"/>
    </row>
    <row r="51" spans="1:4" s="13" customFormat="1" ht="14.25" customHeight="1">
      <c r="A51" s="269"/>
      <c r="B51" s="269"/>
      <c r="C51" s="269"/>
      <c r="D51" s="269"/>
    </row>
    <row r="52" spans="1:4" s="13" customFormat="1" ht="14.25" customHeight="1">
      <c r="A52" s="269"/>
      <c r="B52" s="269"/>
      <c r="C52" s="269"/>
      <c r="D52" s="269"/>
    </row>
  </sheetData>
  <sheetProtection selectLockedCells="1" selectUnlockedCells="1"/>
  <mergeCells count="36">
    <mergeCell ref="A2:L2"/>
    <mergeCell ref="J3:L3"/>
    <mergeCell ref="A6:N6"/>
    <mergeCell ref="A8:A12"/>
    <mergeCell ref="B8:B12"/>
    <mergeCell ref="C8:C12"/>
    <mergeCell ref="D8:D12"/>
    <mergeCell ref="E8:I8"/>
    <mergeCell ref="J8:J12"/>
    <mergeCell ref="K8:K12"/>
    <mergeCell ref="L8:L12"/>
    <mergeCell ref="E9:E12"/>
    <mergeCell ref="F9:H9"/>
    <mergeCell ref="I9:I12"/>
    <mergeCell ref="F10:H10"/>
    <mergeCell ref="F11:F12"/>
    <mergeCell ref="G11:H11"/>
    <mergeCell ref="A14:L14"/>
    <mergeCell ref="A15:L15"/>
    <mergeCell ref="A16:L16"/>
    <mergeCell ref="A17:A21"/>
    <mergeCell ref="B17:B21"/>
    <mergeCell ref="K17:K18"/>
    <mergeCell ref="L17:L47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B46"/>
    <mergeCell ref="A47:B47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2021-12-21T13:31:12Z</cp:lastPrinted>
  <dcterms:created xsi:type="dcterms:W3CDTF">2014-10-21T12:29:03Z</dcterms:created>
  <dcterms:modified xsi:type="dcterms:W3CDTF">2022-02-01T12:24:00Z</dcterms:modified>
  <cp:category/>
  <cp:version/>
  <cp:contentType/>
  <cp:contentStatus/>
  <cp:revision>1</cp:revision>
</cp:coreProperties>
</file>