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витие образования" sheetId="1" r:id="rId1"/>
    <sheet name="Организация питания" sheetId="2" r:id="rId2"/>
    <sheet name="Организация отдыха" sheetId="3" r:id="rId3"/>
    <sheet name="Обеспечение защиты прав детей-сирот" sheetId="4" r:id="rId4"/>
  </sheets>
  <definedNames>
    <definedName name="_xlnm.Print_Area" localSheetId="0">'Развитие образования'!$A$1:$M$632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170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</commentList>
</comments>
</file>

<file path=xl/sharedStrings.xml><?xml version="1.0" encoding="utf-8"?>
<sst xmlns="http://schemas.openxmlformats.org/spreadsheetml/2006/main" count="1171" uniqueCount="507">
  <si>
    <t xml:space="preserve">Приложение № 2 к программе "Развитие образования </t>
  </si>
  <si>
    <t>ЗАТО г. Радужный Владимирской области"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</si>
  <si>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</si>
  <si>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</si>
  <si>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</si>
  <si>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</si>
  <si>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</si>
  <si>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</si>
  <si>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</si>
  <si>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</si>
  <si>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</si>
  <si>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</si>
  <si>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</si>
  <si>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</si>
  <si>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</si>
  <si>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</si>
  <si>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</si>
  <si>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</si>
  <si>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</si>
  <si>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</si>
  <si>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</si>
  <si>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</si>
  <si>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</si>
  <si>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r>
      <rPr>
        <b/>
        <sz val="11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</si>
  <si>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t>сош № 2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</si>
  <si>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</si>
  <si>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Всего </t>
  </si>
  <si>
    <t>сош № 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</si>
  <si>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</si>
  <si>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</si>
  <si>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</si>
  <si>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r>
      <rPr>
        <b/>
        <sz val="14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</si>
  <si>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</si>
  <si>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</si>
  <si>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r>
      <rPr>
        <b/>
        <sz val="12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</si>
  <si>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</si>
  <si>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сош № 2 </t>
  </si>
  <si>
    <t>1.Е4.1</t>
  </si>
  <si>
    <r>
      <rPr>
        <b/>
        <sz val="12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</si>
  <si>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</si>
  <si>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</si>
  <si>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</si>
  <si>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</si>
  <si>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</si>
  <si>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</si>
  <si>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</si>
  <si>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</si>
  <si>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</si>
  <si>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</si>
  <si>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</si>
  <si>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</si>
  <si>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</si>
  <si>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</si>
  <si>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</si>
  <si>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</si>
  <si>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</si>
  <si>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</si>
  <si>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</si>
  <si>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>сош № 1     сош № 2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</si>
  <si>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</si>
  <si>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</si>
  <si>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</si>
  <si>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</si>
  <si>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</si>
  <si>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</si>
  <si>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1.2.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</si>
  <si>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</si>
  <si>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1.2.1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</si>
  <si>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</si>
  <si>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</si>
  <si>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</si>
  <si>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</si>
  <si>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Управление образования, МБОУ ДОД ЦВР "Лад"</t>
  </si>
  <si>
    <t>1.2.1.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</si>
  <si>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</si>
  <si>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</si>
  <si>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</si>
  <si>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МБОУ СОШ 1, СОШ 2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</si>
  <si>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</si>
  <si>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</si>
  <si>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</si>
  <si>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</si>
  <si>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</si>
  <si>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</si>
  <si>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</si>
  <si>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</si>
  <si>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</si>
  <si>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</si>
  <si>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</si>
  <si>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</si>
  <si>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</si>
  <si>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</si>
  <si>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</si>
  <si>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</si>
  <si>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МБОУ СОШ № 1</t>
  </si>
  <si>
    <t>Вознаграждение за конкурс "Лучший учитель" 2017 г.-100%, 2018 г.- 100%, 2019 г.-100%, 2020г- 100%, 2021г- 100%, 2022г. -100%,2023г. -100%</t>
  </si>
  <si>
    <t>МБОУ СОШ № 2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</si>
  <si>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</si>
  <si>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</si>
  <si>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</si>
  <si>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Упр-е образования, методкабинет</t>
  </si>
  <si>
    <t>МБДОУ ЦРР Д/С № 3</t>
  </si>
  <si>
    <t>МБДОУ ЦРР Д/С № 5</t>
  </si>
  <si>
    <t>МБДОУ ЦРР Д/С № 6</t>
  </si>
  <si>
    <t>МБОУСОШ №1</t>
  </si>
  <si>
    <t>МБОУСОШ №2</t>
  </si>
  <si>
    <t>ЦВР "Лад"</t>
  </si>
  <si>
    <t>МБОУДО ЦВР "Лад"</t>
  </si>
  <si>
    <t>ДОУ ЦРР Д/С № 3</t>
  </si>
  <si>
    <t>ДОУ ЦРР Д/С № 5</t>
  </si>
  <si>
    <t>ДОУ ЦРР Д/С № 6</t>
  </si>
  <si>
    <t xml:space="preserve"> ЦВР "Лад"</t>
  </si>
  <si>
    <t>МБОУ СОШ №1</t>
  </si>
  <si>
    <t>МБОУ СОШ №2</t>
  </si>
  <si>
    <t xml:space="preserve">Упр-е образования, </t>
  </si>
  <si>
    <t>Содержание спортивной площадки</t>
  </si>
  <si>
    <t>1.9.</t>
  </si>
  <si>
    <t>Обеспечение безопасности дорожного движения</t>
  </si>
  <si>
    <t>ДОУ № 3</t>
  </si>
  <si>
    <t>ДОУ № 5</t>
  </si>
  <si>
    <t>ДОУ № 6</t>
  </si>
  <si>
    <t>Упр-ние образования</t>
  </si>
  <si>
    <t>1.10</t>
  </si>
  <si>
    <r>
      <rPr>
        <sz val="14"/>
        <rFont val="Times New Roman"/>
        <family val="1"/>
      </rP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</si>
  <si>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СОШ № 2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</si>
  <si>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</si>
  <si>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</si>
  <si>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</si>
  <si>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</si>
  <si>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</si>
  <si>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</si>
  <si>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</si>
  <si>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</si>
  <si>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</si>
  <si>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</si>
  <si>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ЦВР Лад - приобрет винтовки</t>
  </si>
  <si>
    <t>1.14.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</si>
  <si>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</si>
  <si>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</si>
  <si>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</si>
  <si>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</si>
  <si>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Управление образования, МБОУ ДО ЦВР "Лад"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</si>
  <si>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</si>
  <si>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</si>
  <si>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</si>
  <si>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СОШ 1</t>
  </si>
  <si>
    <t>сош 1 - м/ б-т</t>
  </si>
  <si>
    <t>Обеспечение безопасности распространения новой коронавирусной инфекции</t>
  </si>
  <si>
    <t>сош 1--о/б, м/б (соф-е)</t>
  </si>
  <si>
    <t>СОШ 2</t>
  </si>
  <si>
    <t>сош 2 - м/ б-т</t>
  </si>
  <si>
    <t>сош 2--о/б, м/б (соф-е)</t>
  </si>
  <si>
    <t>ДОУ 3</t>
  </si>
  <si>
    <t>доу 3- о/б, м/б(соф-е)</t>
  </si>
  <si>
    <t>ДОУ 5</t>
  </si>
  <si>
    <t>доу 5- о/б, м/б(соф-е)</t>
  </si>
  <si>
    <t>ДОУ 6</t>
  </si>
  <si>
    <t>доу 6- о/б, м/б (соф-е)</t>
  </si>
  <si>
    <t>ЦВР</t>
  </si>
  <si>
    <t>ЦВР - м/ б-т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</si>
  <si>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</si>
  <si>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</si>
  <si>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</si>
  <si>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</si>
  <si>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</si>
  <si>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</si>
  <si>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</si>
  <si>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</si>
  <si>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</si>
  <si>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</si>
  <si>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</si>
  <si>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</si>
  <si>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д/с № 3</t>
  </si>
  <si>
    <t>д/с № 5</t>
  </si>
  <si>
    <t>д/с  № 5</t>
  </si>
  <si>
    <t>д/с № 6</t>
  </si>
  <si>
    <t>СОШ № !</t>
  </si>
  <si>
    <t>ГКМХ</t>
  </si>
  <si>
    <t>Цвр "Лад"</t>
  </si>
  <si>
    <t>СОШ № 1</t>
  </si>
  <si>
    <t>ГКМХ СОШ № 1 -софин-е</t>
  </si>
  <si>
    <t>ЦВР (дол)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</si>
  <si>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</si>
  <si>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</si>
  <si>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</si>
  <si>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Ремонт кровли пищеблока</t>
  </si>
  <si>
    <t>ДОУ №3</t>
  </si>
  <si>
    <t xml:space="preserve">Замена пократия линолиума в керамическую плиткупола  в коридорах </t>
  </si>
  <si>
    <t>Текущий ремонт инженерных коммуникаций в подвале блока №2</t>
  </si>
  <si>
    <t>Замена канализационных труб 3 блока идущих от здания  к канализационному люку со стороны пищеблока.</t>
  </si>
  <si>
    <t>Установка узлов смешивания на трубы полового отопления</t>
  </si>
  <si>
    <t>Текущий ремонт групп 3.1,3.2,3.3 (линолеум)</t>
  </si>
  <si>
    <t xml:space="preserve">замена покрытия пола коридора  2 этажа </t>
  </si>
  <si>
    <t>Ремонт стен в коридорах 1 и 2 этажей</t>
  </si>
  <si>
    <t xml:space="preserve">Замена пократия пола </t>
  </si>
  <si>
    <t>комплекс работ по ремонту метал. Калитки</t>
  </si>
  <si>
    <t>замена дверного блока , балконных блоков</t>
  </si>
  <si>
    <t>Монгтаж системы отключения приточной вентиляции при пожаре</t>
  </si>
  <si>
    <t>ремонт регистров в раздевалке гр.3-5 лесовичок, ремонт стен второго этажа, замена уплотнителя и мелкий ремонт окон</t>
  </si>
  <si>
    <t>Замена покрытия пола в коридорах 1и 2 этажей в МДБОУ д/с № 5 предпеисание по пожарной безопасности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</si>
  <si>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</si>
  <si>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</si>
  <si>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</si>
  <si>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</si>
  <si>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</si>
  <si>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</si>
  <si>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Текущий ремонт помещений</t>
  </si>
  <si>
    <t>Текущий ремонт физкультурного зала, перехода в бассейн и тамбуров у вахты</t>
  </si>
  <si>
    <t>Текущий ремонт  в группах  № 2,4,5,12,8</t>
  </si>
  <si>
    <t>Текущий ремонт калиток</t>
  </si>
  <si>
    <t>Ремонт крыльца центрального входа в школу (путь эвакуации)</t>
  </si>
  <si>
    <t>Текущий ремонт  рекриации 2 и 3 этажа</t>
  </si>
  <si>
    <t>Текущий ремонт пищеблока столовой в здании начальной школы</t>
  </si>
  <si>
    <t>Текущий ремонт перехода в КЦ "Досуг"</t>
  </si>
  <si>
    <t>Ремонт потолка лестничной клетки</t>
  </si>
  <si>
    <t xml:space="preserve">Текущий ремонт вестибюля 
</t>
  </si>
  <si>
    <t>Устройство системы вытяжной вентиляции от шкафов кабинета химии - основное здание, кабинет №21</t>
  </si>
  <si>
    <t>ремонт рекреации первого этажа, приобретение краски для покарскаи забора</t>
  </si>
  <si>
    <t>рекревция 1 этажа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</si>
  <si>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</si>
  <si>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</si>
  <si>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№21 и лаборантской("Точка роста" - химия )</t>
  </si>
  <si>
    <t>Ремонт кабинета №22 и лаборантской ("Точка роста" - биология)</t>
  </si>
  <si>
    <t>Сантехнические работы в каб. "Точки роста"</t>
  </si>
  <si>
    <t xml:space="preserve">Ремонт кровли здания </t>
  </si>
  <si>
    <t>Ремонт ограждений спортивной площадки между школами</t>
  </si>
  <si>
    <t>приобретение краски для покраски  забора</t>
  </si>
  <si>
    <t>Текущий ремонт коридора 2 этажа блока "Б" в МБОУ ЦР "Лад"</t>
  </si>
  <si>
    <t>Текущий ремонт системы отопления в помещениях</t>
  </si>
  <si>
    <t>текущий ремонт помещений здания бани в ДОЛ "Лесной городок"</t>
  </si>
  <si>
    <t>Замена решетки в зале музея боевой славы В.О. в каб.25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</si>
  <si>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</si>
  <si>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</si>
  <si>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</si>
  <si>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</si>
  <si>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</si>
  <si>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</si>
  <si>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</si>
  <si>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</si>
  <si>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</si>
  <si>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</si>
  <si>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</si>
  <si>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</si>
  <si>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</si>
  <si>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</si>
  <si>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</si>
  <si>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</si>
  <si>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</si>
  <si>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оснащение системной охранной сигнализацией</t>
  </si>
  <si>
    <t>ЦВР лад</t>
  </si>
  <si>
    <t>2.3.</t>
  </si>
  <si>
    <t xml:space="preserve">Обеспечение антитеррористической защищенности, пожарной безопасности общеобразовательных организаций .                            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</si>
  <si>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</si>
  <si>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</si>
  <si>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</si>
  <si>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</si>
  <si>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</si>
  <si>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</si>
  <si>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</si>
  <si>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</si>
  <si>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</si>
  <si>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</si>
  <si>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</si>
  <si>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сош №1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</si>
  <si>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</si>
  <si>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</si>
  <si>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</si>
  <si>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</si>
  <si>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</si>
  <si>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</si>
  <si>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</si>
  <si>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</si>
  <si>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</si>
  <si>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</si>
  <si>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</si>
  <si>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Управление образования, СОШ № 1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</si>
  <si>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</si>
  <si>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</si>
  <si>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</si>
  <si>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</si>
  <si>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сош 1</t>
  </si>
  <si>
    <t>сош 2</t>
  </si>
  <si>
    <t>2.5.2</t>
  </si>
  <si>
    <t>Оснащение охранной сигнализации (в т.ч. установкаэлектронных заиков для разблокировки на двери запасных выходов)</t>
  </si>
  <si>
    <t>ЦВР  "Лад"</t>
  </si>
  <si>
    <t>2.5.3.</t>
  </si>
  <si>
    <t>Оснащение въездов на объект средствами снижения скорости</t>
  </si>
  <si>
    <t>2.5.4.</t>
  </si>
  <si>
    <t>Замена входных дверей главного запасного входа</t>
  </si>
  <si>
    <t>2.5.5.</t>
  </si>
  <si>
    <t>Синхронизация СКУД и домофонов</t>
  </si>
  <si>
    <t>2.5.6.</t>
  </si>
  <si>
    <t>Приобретение аккууляторов для КТС</t>
  </si>
  <si>
    <t>2.6.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</si>
  <si>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</si>
  <si>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</si>
  <si>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ДОУ  № 3</t>
  </si>
  <si>
    <t>Мероприяти по подготовке к началу учебного года муниципальных общеобразовательных учреждений</t>
  </si>
  <si>
    <t>ДОУ  № 5</t>
  </si>
  <si>
    <t>Итого по разделу 2:</t>
  </si>
  <si>
    <t xml:space="preserve">     3.Выполнение муниципальных заданий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</si>
  <si>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</si>
  <si>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</si>
  <si>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</si>
  <si>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</si>
  <si>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</si>
  <si>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МБДОУ ЦРР Д/С №3</t>
  </si>
  <si>
    <t>МБДОУ ЦРР Д/С №5</t>
  </si>
  <si>
    <t>МБДОУ ЦРР Д/С №6</t>
  </si>
  <si>
    <t>МБОУ ДОД ЦВР "Лад"</t>
  </si>
  <si>
    <t>МБОУ ДОД ЦВР "Лад" (з/пл. педагогов доведение до указа президента)</t>
  </si>
  <si>
    <t>МБОУ ДОД ЦВР "Лад",МБОУ СОШ №1 , МБДОУ ЦРР Д/С №5; Д/с 3; Д/с 6;СОШ №2</t>
  </si>
  <si>
    <t>3.2.</t>
  </si>
  <si>
    <t xml:space="preserve"> Выполнение  функций муниципального задания  </t>
  </si>
  <si>
    <t>МБОУ ДОД ЦВР "Лад" (софин.)</t>
  </si>
  <si>
    <t>ЦВР "Лад"  (все расзоды)</t>
  </si>
  <si>
    <t xml:space="preserve"> ЦВР "Лад" (з/плата)</t>
  </si>
  <si>
    <t>ЦВР (софинанс к обл.)</t>
  </si>
  <si>
    <t>МБДОУ Д/С №3</t>
  </si>
  <si>
    <t>МБДОУ  Д/С №5</t>
  </si>
  <si>
    <t>МБДОУ Д/С №6</t>
  </si>
  <si>
    <t xml:space="preserve"> ЦВР "Лад"(все расходы)</t>
  </si>
  <si>
    <t>ЦВР (соф-е к обл)</t>
  </si>
  <si>
    <t xml:space="preserve"> ЦВР "Лад" (софин.)</t>
  </si>
  <si>
    <t>ДОУ № 3 (расх)</t>
  </si>
  <si>
    <t>ДОУ № 3 (з/пл)</t>
  </si>
  <si>
    <t>ДОУ № 5 (расх)</t>
  </si>
  <si>
    <t>ДОУ № 5 (з/пл)</t>
  </si>
  <si>
    <t>ДОУ № 6 (расх)</t>
  </si>
  <si>
    <t>ДОУ № 6 (з/пл)</t>
  </si>
  <si>
    <t xml:space="preserve"> ЦВР "Лад"(расх)</t>
  </si>
  <si>
    <t xml:space="preserve"> ЦВР "Лад"(расход)</t>
  </si>
  <si>
    <t>ЦВР (софина к обл)</t>
  </si>
  <si>
    <t xml:space="preserve"> ЦВР "Лад"(мун зад)</t>
  </si>
  <si>
    <t>ЦВР (софин к обл)</t>
  </si>
  <si>
    <t xml:space="preserve"> Выполнение  функций муниципального задания</t>
  </si>
  <si>
    <t>3.3.</t>
  </si>
  <si>
    <r>
      <rPr>
        <sz val="16"/>
        <rFont val="Times New Roman"/>
        <family val="1"/>
      </rP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</si>
  <si>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</si>
  <si>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</si>
  <si>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</si>
  <si>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</si>
  <si>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</si>
  <si>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</si>
  <si>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</si>
  <si>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</si>
  <si>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</si>
  <si>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</si>
  <si>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</si>
  <si>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</si>
  <si>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</si>
  <si>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</si>
  <si>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</si>
  <si>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</si>
  <si>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</si>
  <si>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</si>
  <si>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</si>
  <si>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</t>
  </si>
  <si>
    <t>Итого по разделу 5:</t>
  </si>
  <si>
    <t>6. Обеспечение персонифицированного финансирования дополнительного образования</t>
  </si>
  <si>
    <t>Цель: Обеспечение персонифицированного финансирования дополнительного образования</t>
  </si>
  <si>
    <t>6.</t>
  </si>
  <si>
    <t>Обеспечение персонифицированного финансирования дополнительного образования</t>
  </si>
  <si>
    <t>Управление образования, Комитет по культуре и спорту</t>
  </si>
  <si>
    <t>Итого по разделу 6:</t>
  </si>
  <si>
    <t>ИТОГО по подпрограмме:</t>
  </si>
  <si>
    <t>2017-2024г.г.</t>
  </si>
  <si>
    <t>Приложение № 3  к программе "Развитие образования</t>
  </si>
  <si>
    <t xml:space="preserve">ЗАТО г. Радужный Владимирской области" 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</si>
  <si>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</si>
  <si>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Наименование меропр</t>
  </si>
  <si>
    <t>Срок исполнения</t>
  </si>
  <si>
    <t>Объем финансирования (тыс.руб.)</t>
  </si>
  <si>
    <t>Исполнители –ответственные за реализацию мероприятия</t>
  </si>
  <si>
    <t>Ожидаемые  результаты (количественные или качественные показатели)</t>
  </si>
  <si>
    <t>Собственные доходы:</t>
  </si>
  <si>
    <t>Субсидии , иные межбюджетные трансферты</t>
  </si>
  <si>
    <t>1. Организация питания обучающихся общеобразовательных оргнанизаций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</si>
  <si>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</si>
  <si>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r>
      <rPr>
        <b/>
        <sz val="14"/>
        <rFont val="Times New Roman"/>
        <family val="1"/>
      </rP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</si>
  <si>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</si>
  <si>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</si>
  <si>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</si>
  <si>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Уровень удовлетворенности населения города качеством услуг в сфере дошкольного,общего образования составит  не менее 80%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</si>
  <si>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</si>
  <si>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- 100%, 2021 год - 100%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</si>
  <si>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</si>
  <si>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</si>
  <si>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сш1-65,0; сш2- 52,0</t>
  </si>
  <si>
    <t>1.2.3.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</si>
  <si>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</si>
  <si>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>сош1- 432,0; сош2- 469,0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</si>
  <si>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</si>
  <si>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</si>
  <si>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Оснащение пищеблоков современных технологическим оборудование в соответствии с СанПин в 2017 г.- 95%, 2018 г.- 96%, 2019 г.-97%, 2020 год - 98%, 2021 год - 99%</t>
  </si>
  <si>
    <t>Управление образования сш№1-100,00, сш№2-100,00</t>
  </si>
  <si>
    <t>Управление образования сш№1-150,00, сш№2-150,00</t>
  </si>
  <si>
    <t>Уменьшение высоты потолка в холодильной камере для поддержания необходимого температурного режима - основное здание</t>
  </si>
  <si>
    <t>Установка вытяжной вентиляции в моечном отделении столовой здания начальных классов</t>
  </si>
  <si>
    <t>2. "Организация питания дошкольников"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</si>
  <si>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</si>
  <si>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t>Задача:   Обеспечение высокого качества и безопасности питания детей в дошкольных учреждениях.</t>
  </si>
  <si>
    <t xml:space="preserve"> Реализация мероприятий по предоставлению качественного питания для детей дошкольного возраста</t>
  </si>
  <si>
    <t>МБДОУ ЦЦР Д/С № 3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</si>
  <si>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г.- 100%, 2020 год - 100%, 2021 год - 100%,  2022 год - 100%</t>
  </si>
  <si>
    <t>МБДОУ ЦЦР Д/С № 5</t>
  </si>
  <si>
    <t>МБДОУ ЦЦР Д/С № 6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</si>
  <si>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- 100%, 2021 г. - 100%, 2022г. - 100%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</si>
  <si>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</si>
  <si>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</si>
  <si>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Проведение новодних утренников и приобретение новогодних подарков в 2017 г.-100%, 2018-100%, 2019-100%, 2020год - 100%, 2021 год - 100%, 2022 год - 100%, 2023год - 100%.</t>
  </si>
  <si>
    <t>Управление образования д/сад № 3-77,0, д/сад № 5-137,0, д/сад № 6-85,0</t>
  </si>
  <si>
    <t>Итого по подпрограмме :</t>
  </si>
  <si>
    <t>2017-2024 г.г.</t>
  </si>
  <si>
    <t xml:space="preserve">Приложение № 4 к программе "Развитие образования </t>
  </si>
  <si>
    <t>4.  Мероприятия муниципальной подпрограммы</t>
  </si>
  <si>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</si>
  <si>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</si>
  <si>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</si>
  <si>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</si>
  <si>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</si>
  <si>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</si>
  <si>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субсидий и иных межбюджетных трансфертов</t>
  </si>
  <si>
    <t>Из фед.-го бюджета</t>
  </si>
  <si>
    <t>Из областного бюджета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</si>
  <si>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</si>
  <si>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</si>
  <si>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Задача:  Организация отдыха и оздоровления детей и подростков с дневным пребываанием</t>
  </si>
  <si>
    <t xml:space="preserve">Организация отдыха и оздоровления детей в лагерях с дневным пребыванием детей    </t>
  </si>
  <si>
    <t>МБОУ СОШ№1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</si>
  <si>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, 2024-48%                       </t>
  </si>
  <si>
    <t>МБОУ СОШ№2</t>
  </si>
  <si>
    <t>МБОУ ДО ЦВР "Лад"</t>
  </si>
  <si>
    <t>МБОУ ЦВР "Лад"</t>
  </si>
  <si>
    <t>Организация  культурно-экскурсионномго обслуживания в каникулярный период .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</si>
  <si>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-30%, 2024 -30%</t>
  </si>
  <si>
    <t>2. Участие в областных профильных сменах. Организация санаторно-курортного оздоровления.</t>
  </si>
  <si>
    <t xml:space="preserve">Цель: Организация отдыха и оздоровления детей, оказавшихся в трудной жизненной ситуации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</si>
  <si>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</si>
  <si>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</si>
  <si>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</si>
  <si>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- 100%, 2024 год -100%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</si>
  <si>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</si>
  <si>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Управление образования (ЦВР)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</si>
  <si>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</t>
  </si>
  <si>
    <t xml:space="preserve">Обеспечение пожарной безопасности </t>
  </si>
  <si>
    <t>ЦВР "Лад"- загородный лагерь</t>
  </si>
  <si>
    <t>Итого по разделу2:</t>
  </si>
  <si>
    <t>3. Организация отдыха детей в загородном лагере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</si>
  <si>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</si>
  <si>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</si>
  <si>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>Расходы на обеспечение деятельности (оказания услуг) детского оздоровительного  лагеря "Лесной городок"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</si>
  <si>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-13%, 2024-13%</t>
  </si>
  <si>
    <t>ФОТ  ЦВР "Лад"-Гагар.</t>
  </si>
  <si>
    <t>содерж  ЦВР "Лад"-Гаг</t>
  </si>
  <si>
    <t>ФОТ  ЦВР "Лад"- Гаг</t>
  </si>
  <si>
    <t>содерж  ЦВР "Лад"- Гаг</t>
  </si>
  <si>
    <t>3.2</t>
  </si>
  <si>
    <t>Расходы на проведение оздоровительной кампании
(путевка)</t>
  </si>
  <si>
    <t>Упр-е обр. - дол "Хрусталек"</t>
  </si>
  <si>
    <t>Содерж  ЦВР -дол (пут)</t>
  </si>
  <si>
    <t>ФОТ  ЦВР -дол (пут-ка)</t>
  </si>
  <si>
    <t xml:space="preserve"> ЦВР "Лад"- дол (пут.)</t>
  </si>
  <si>
    <t>Содерж ДОЛ -путевка</t>
  </si>
  <si>
    <t xml:space="preserve"> ЦВР "Лад"- дол пут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</si>
  <si>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</si>
  <si>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</si>
  <si>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</si>
  <si>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</si>
  <si>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ЦВР "Лад"- заг лаг (рем АПС)</t>
  </si>
  <si>
    <t>ЦВР - дол рем. Санпав.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</si>
  <si>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</si>
  <si>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</si>
  <si>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</si>
  <si>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</si>
  <si>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3.6.</t>
  </si>
  <si>
    <t>Разработка кадастровой карты-плана для саниторный охраны участка подземного водозабора</t>
  </si>
  <si>
    <t>ЦВР "Лад"- заг. лагерь</t>
  </si>
  <si>
    <t>3.7.</t>
  </si>
  <si>
    <t xml:space="preserve">ЦВР "Лад" -ДОЛ </t>
  </si>
  <si>
    <t>3.8.</t>
  </si>
  <si>
    <t>Разработка проектной документации на демонтаж павильонов</t>
  </si>
  <si>
    <t>3.9.</t>
  </si>
  <si>
    <t>Подготовка ДОЛ к летнему периоду (к лет-ней оздоровительной компании 2020 года)</t>
  </si>
  <si>
    <t>ЦВР "Лад" - заг. Лагерь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</si>
  <si>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</si>
  <si>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</si>
  <si>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Итого по подпрограмме 3:</t>
  </si>
  <si>
    <t xml:space="preserve">Приложение № 5 к  программе "Развитие образования  </t>
  </si>
  <si>
    <t xml:space="preserve"> ЗАТО г. Радужный Владимирской области" 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</si>
  <si>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</si>
  <si>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№  п/п</t>
  </si>
  <si>
    <t>Объём финансиро-вания (тыс.руб.)</t>
  </si>
  <si>
    <t>Другие собственные средства</t>
  </si>
  <si>
    <t>I. Организация осуществления деятельности по опеке и попечительству в отношении несовершенно-летних граждан.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</si>
  <si>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</si>
  <si>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</si>
  <si>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</si>
  <si>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Содержание ребенка в семье опекуна и в приемной семье , а также вознаграждения , причитающиеся приемным родителям</t>
  </si>
  <si>
    <t xml:space="preserve">Отдел опеки и попечительства администрация ЗАТО г.Радужный Владимисркой области 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</si>
  <si>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</si>
  <si>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</si>
  <si>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</si>
  <si>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>Обеспечение жильем детей -сирот,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</si>
  <si>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</si>
  <si>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t>Итого по подпрограмме 4:</t>
  </si>
  <si>
    <t>2017-2023 г.г.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</si>
</sst>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"/>
    <numFmt numFmtId="166" formatCode="@"/>
    <numFmt numFmtId="167" formatCode="0.00000"/>
    <numFmt numFmtId="168" formatCode="\ * #,##0.00&quot;    &quot;;\-* #,##0.00&quot;    &quot;;\ * \-#&quot;    &quot;;\ @\ "/>
    <numFmt numFmtId="169" formatCode="0.0000"/>
    <numFmt numFmtId="170" formatCode="0.00"/>
    <numFmt numFmtId="171" formatCode="0.000000"/>
    <numFmt numFmtId="172" formatCode="dd/mm/yyyy"/>
    <numFmt numFmtId="173" formatCode="dd/mmm"/>
    <numFmt numFmtId="174" formatCode="#,##0.00000&quot;    &quot;"/>
    <numFmt numFmtId="175" formatCode="#,##0.000000&quot;    &quot;"/>
    <numFmt numFmtId="176" formatCode="#,##0.0000"/>
    <numFmt numFmtId="177" formatCode="\ * #,##0.00000&quot;    &quot;;\-* #,##0.00000&quot;    &quot;;\ * \-#&quot;    &quot;;\ @\ "/>
    <numFmt numFmtId="178" formatCode="0.000"/>
    <numFmt numFmtId="179" formatCode="0.0"/>
    <numFmt numFmtId="180" formatCode="#,##0.000"/>
    <numFmt numFmtId="181" formatCode="#,##0.00000"/>
    <numFmt numFmtId="182" formatCode="#,##0"/>
    <numFmt numFmtId="183" formatCode="General"/>
    <numFmt numFmtId="184" formatCode="\ * #,##0.00&quot;р. &quot;;\-* #,##0.00&quot;р. &quot;;\ * \-#&quot;р. &quot;;\ @\ "/>
    <numFmt numFmtId="185" formatCode="_-* #,##0.0000_р_._-;\-* #,##0.0000_р_._-;_-* \-??_р_._-;_-@_-"/>
  </numFmts>
  <fonts count="42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4"/>
      <color indexed="3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5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18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center" vertical="top" shrinkToFit="1"/>
      <protection/>
    </xf>
  </cellStyleXfs>
  <cellXfs count="977">
    <xf numFmtId="164" fontId="0" fillId="0" borderId="0" xfId="0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 vertical="top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/>
    </xf>
    <xf numFmtId="164" fontId="7" fillId="0" borderId="7" xfId="0" applyFont="1" applyFill="1" applyBorder="1" applyAlignment="1">
      <alignment horizontal="center" vertical="top" wrapText="1"/>
    </xf>
    <xf numFmtId="164" fontId="5" fillId="0" borderId="8" xfId="0" applyFont="1" applyFill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left" vertical="top" wrapText="1"/>
    </xf>
    <xf numFmtId="166" fontId="8" fillId="0" borderId="8" xfId="0" applyNumberFormat="1" applyFont="1" applyFill="1" applyBorder="1" applyAlignment="1">
      <alignment horizontal="left"/>
    </xf>
    <xf numFmtId="164" fontId="5" fillId="0" borderId="5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7" fillId="0" borderId="9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top" wrapText="1"/>
    </xf>
    <xf numFmtId="164" fontId="5" fillId="0" borderId="10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164" fontId="5" fillId="0" borderId="19" xfId="0" applyFont="1" applyFill="1" applyBorder="1" applyAlignment="1">
      <alignment horizontal="center" vertical="center" wrapText="1"/>
    </xf>
    <xf numFmtId="164" fontId="4" fillId="0" borderId="20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7" fillId="0" borderId="15" xfId="0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20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left"/>
    </xf>
    <xf numFmtId="164" fontId="11" fillId="0" borderId="6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7" fontId="7" fillId="0" borderId="15" xfId="0" applyNumberFormat="1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/>
    </xf>
    <xf numFmtId="169" fontId="7" fillId="0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Font="1" applyFill="1" applyBorder="1" applyAlignment="1">
      <alignment horizontal="center" vertical="top"/>
    </xf>
    <xf numFmtId="164" fontId="11" fillId="0" borderId="1" xfId="0" applyFont="1" applyFill="1" applyBorder="1" applyAlignment="1">
      <alignment horizontal="center" vertical="center" wrapText="1"/>
    </xf>
    <xf numFmtId="167" fontId="7" fillId="0" borderId="1" xfId="15" applyNumberFormat="1" applyFont="1" applyFill="1" applyBorder="1" applyAlignment="1" applyProtection="1">
      <alignment horizontal="center" vertical="center" wrapText="1"/>
      <protection/>
    </xf>
    <xf numFmtId="167" fontId="5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64" fontId="11" fillId="0" borderId="1" xfId="0" applyFont="1" applyFill="1" applyBorder="1" applyAlignment="1">
      <alignment vertical="top" wrapText="1"/>
    </xf>
    <xf numFmtId="164" fontId="7" fillId="0" borderId="2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8" fillId="0" borderId="6" xfId="0" applyNumberFormat="1" applyFont="1" applyFill="1" applyBorder="1" applyAlignment="1">
      <alignment horizontal="center" vertical="top" wrapText="1"/>
    </xf>
    <xf numFmtId="164" fontId="7" fillId="0" borderId="12" xfId="0" applyFont="1" applyFill="1" applyBorder="1" applyAlignment="1">
      <alignment vertical="top"/>
    </xf>
    <xf numFmtId="164" fontId="7" fillId="0" borderId="22" xfId="0" applyFont="1" applyFill="1" applyBorder="1" applyAlignment="1">
      <alignment vertical="top"/>
    </xf>
    <xf numFmtId="164" fontId="7" fillId="0" borderId="5" xfId="0" applyFont="1" applyFill="1" applyBorder="1" applyAlignment="1">
      <alignment horizontal="center" vertical="top"/>
    </xf>
    <xf numFmtId="166" fontId="5" fillId="0" borderId="5" xfId="0" applyNumberFormat="1" applyFont="1" applyFill="1" applyBorder="1" applyAlignment="1">
      <alignment horizontal="center" vertical="top"/>
    </xf>
    <xf numFmtId="170" fontId="4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top" wrapText="1"/>
    </xf>
    <xf numFmtId="171" fontId="7" fillId="0" borderId="1" xfId="0" applyNumberFormat="1" applyFont="1" applyFill="1" applyBorder="1" applyAlignment="1">
      <alignment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vertical="center" wrapText="1"/>
    </xf>
    <xf numFmtId="164" fontId="4" fillId="0" borderId="23" xfId="0" applyFont="1" applyFill="1" applyBorder="1" applyAlignment="1">
      <alignment horizontal="left" vertical="top" wrapText="1"/>
    </xf>
    <xf numFmtId="164" fontId="5" fillId="0" borderId="21" xfId="0" applyFont="1" applyFill="1" applyBorder="1" applyAlignment="1">
      <alignment horizontal="center" vertical="top"/>
    </xf>
    <xf numFmtId="173" fontId="4" fillId="0" borderId="24" xfId="0" applyNumberFormat="1" applyFont="1" applyFill="1" applyBorder="1" applyAlignment="1">
      <alignment horizontal="center" vertical="top" wrapText="1"/>
    </xf>
    <xf numFmtId="167" fontId="5" fillId="0" borderId="1" xfId="15" applyNumberFormat="1" applyFont="1" applyFill="1" applyBorder="1" applyAlignment="1" applyProtection="1">
      <alignment horizontal="left" vertical="center" wrapText="1"/>
      <protection/>
    </xf>
    <xf numFmtId="167" fontId="5" fillId="0" borderId="1" xfId="15" applyNumberFormat="1" applyFont="1" applyFill="1" applyBorder="1" applyAlignment="1" applyProtection="1">
      <alignment horizontal="center" vertical="center" wrapText="1"/>
      <protection/>
    </xf>
    <xf numFmtId="167" fontId="5" fillId="0" borderId="1" xfId="0" applyNumberFormat="1" applyFont="1" applyFill="1" applyBorder="1" applyAlignment="1">
      <alignment horizontal="justify" vertical="center" wrapText="1"/>
    </xf>
    <xf numFmtId="164" fontId="4" fillId="0" borderId="23" xfId="0" applyFont="1" applyFill="1" applyBorder="1" applyAlignment="1">
      <alignment horizontal="center" vertical="top" wrapText="1"/>
    </xf>
    <xf numFmtId="164" fontId="4" fillId="0" borderId="23" xfId="0" applyFont="1" applyFill="1" applyBorder="1" applyAlignment="1">
      <alignment horizontal="center" vertical="center" wrapText="1"/>
    </xf>
    <xf numFmtId="164" fontId="7" fillId="0" borderId="25" xfId="0" applyFont="1" applyFill="1" applyBorder="1" applyAlignment="1">
      <alignment horizontal="center" vertical="top" wrapText="1"/>
    </xf>
    <xf numFmtId="167" fontId="7" fillId="0" borderId="26" xfId="0" applyNumberFormat="1" applyFont="1" applyFill="1" applyBorder="1" applyAlignment="1">
      <alignment horizontal="center" vertical="top" wrapText="1"/>
    </xf>
    <xf numFmtId="167" fontId="7" fillId="0" borderId="25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167" fontId="7" fillId="0" borderId="27" xfId="15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Font="1" applyFill="1" applyBorder="1" applyAlignment="1">
      <alignment horizontal="center" vertical="center" wrapText="1"/>
    </xf>
    <xf numFmtId="164" fontId="4" fillId="0" borderId="29" xfId="0" applyFont="1" applyFill="1" applyBorder="1" applyAlignment="1">
      <alignment horizontal="left" vertical="top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vertical="center" wrapText="1"/>
    </xf>
    <xf numFmtId="164" fontId="11" fillId="0" borderId="30" xfId="0" applyFont="1" applyFill="1" applyBorder="1" applyAlignment="1">
      <alignment horizontal="center" vertical="center" wrapText="1"/>
    </xf>
    <xf numFmtId="167" fontId="7" fillId="0" borderId="31" xfId="0" applyNumberFormat="1" applyFont="1" applyFill="1" applyBorder="1" applyAlignment="1">
      <alignment horizontal="center" vertical="center" wrapText="1"/>
    </xf>
    <xf numFmtId="167" fontId="7" fillId="0" borderId="31" xfId="0" applyNumberFormat="1" applyFont="1" applyFill="1" applyBorder="1" applyAlignment="1">
      <alignment vertical="center" wrapText="1"/>
    </xf>
    <xf numFmtId="167" fontId="5" fillId="0" borderId="31" xfId="0" applyNumberFormat="1" applyFont="1" applyFill="1" applyBorder="1" applyAlignment="1">
      <alignment horizontal="center" vertical="center" wrapText="1"/>
    </xf>
    <xf numFmtId="164" fontId="11" fillId="0" borderId="32" xfId="0" applyFont="1" applyFill="1" applyBorder="1" applyAlignment="1">
      <alignment horizontal="center" vertical="center" wrapText="1"/>
    </xf>
    <xf numFmtId="164" fontId="7" fillId="0" borderId="33" xfId="0" applyFont="1" applyFill="1" applyBorder="1" applyAlignment="1">
      <alignment horizontal="center" vertical="top" wrapText="1"/>
    </xf>
    <xf numFmtId="167" fontId="7" fillId="0" borderId="34" xfId="0" applyNumberFormat="1" applyFont="1" applyFill="1" applyBorder="1" applyAlignment="1">
      <alignment horizontal="center" vertical="top" wrapText="1"/>
    </xf>
    <xf numFmtId="167" fontId="7" fillId="0" borderId="33" xfId="0" applyNumberFormat="1" applyFont="1" applyFill="1" applyBorder="1" applyAlignment="1">
      <alignment horizontal="center" vertical="top" wrapText="1"/>
    </xf>
    <xf numFmtId="167" fontId="7" fillId="0" borderId="35" xfId="0" applyNumberFormat="1" applyFont="1" applyFill="1" applyBorder="1" applyAlignment="1">
      <alignment horizontal="center" vertical="top" wrapText="1"/>
    </xf>
    <xf numFmtId="164" fontId="11" fillId="0" borderId="36" xfId="0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top" wrapText="1"/>
    </xf>
    <xf numFmtId="167" fontId="5" fillId="0" borderId="15" xfId="0" applyNumberFormat="1" applyFont="1" applyFill="1" applyBorder="1" applyAlignment="1">
      <alignment horizontal="center" vertical="top" wrapText="1"/>
    </xf>
    <xf numFmtId="167" fontId="7" fillId="0" borderId="15" xfId="0" applyNumberFormat="1" applyFont="1" applyFill="1" applyBorder="1" applyAlignment="1">
      <alignment vertical="top" wrapText="1"/>
    </xf>
    <xf numFmtId="167" fontId="7" fillId="0" borderId="1" xfId="0" applyNumberFormat="1" applyFont="1" applyFill="1" applyBorder="1" applyAlignment="1">
      <alignment vertical="top" wrapText="1"/>
    </xf>
    <xf numFmtId="167" fontId="7" fillId="0" borderId="31" xfId="0" applyNumberFormat="1" applyFont="1" applyFill="1" applyBorder="1" applyAlignment="1">
      <alignment horizontal="center" vertical="top" wrapText="1"/>
    </xf>
    <xf numFmtId="167" fontId="5" fillId="0" borderId="31" xfId="0" applyNumberFormat="1" applyFont="1" applyFill="1" applyBorder="1" applyAlignment="1">
      <alignment horizontal="center" vertical="top" wrapText="1"/>
    </xf>
    <xf numFmtId="167" fontId="7" fillId="0" borderId="31" xfId="0" applyNumberFormat="1" applyFont="1" applyFill="1" applyBorder="1" applyAlignment="1">
      <alignment vertical="top" wrapText="1"/>
    </xf>
    <xf numFmtId="167" fontId="7" fillId="0" borderId="36" xfId="0" applyNumberFormat="1" applyFont="1" applyFill="1" applyBorder="1" applyAlignment="1">
      <alignment horizontal="center" vertical="top" wrapText="1"/>
    </xf>
    <xf numFmtId="164" fontId="11" fillId="0" borderId="37" xfId="0" applyFont="1" applyFill="1" applyBorder="1" applyAlignment="1">
      <alignment horizontal="center" vertical="center" wrapText="1"/>
    </xf>
    <xf numFmtId="167" fontId="5" fillId="0" borderId="36" xfId="0" applyNumberFormat="1" applyFont="1" applyFill="1" applyBorder="1" applyAlignment="1">
      <alignment vertical="top" wrapText="1"/>
    </xf>
    <xf numFmtId="164" fontId="4" fillId="0" borderId="38" xfId="0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top" wrapText="1"/>
    </xf>
    <xf numFmtId="167" fontId="5" fillId="0" borderId="17" xfId="0" applyNumberFormat="1" applyFont="1" applyFill="1" applyBorder="1" applyAlignment="1">
      <alignment horizontal="center" vertical="top" wrapText="1"/>
    </xf>
    <xf numFmtId="167" fontId="7" fillId="0" borderId="17" xfId="0" applyNumberFormat="1" applyFont="1" applyFill="1" applyBorder="1" applyAlignment="1">
      <alignment vertical="top" wrapText="1"/>
    </xf>
    <xf numFmtId="164" fontId="4" fillId="0" borderId="39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7" fillId="0" borderId="39" xfId="0" applyFont="1" applyFill="1" applyBorder="1" applyAlignment="1">
      <alignment horizontal="center" vertical="top" wrapText="1"/>
    </xf>
    <xf numFmtId="167" fontId="7" fillId="0" borderId="29" xfId="0" applyNumberFormat="1" applyFont="1" applyFill="1" applyBorder="1" applyAlignment="1">
      <alignment horizontal="center" vertical="top" wrapText="1"/>
    </xf>
    <xf numFmtId="167" fontId="7" fillId="0" borderId="40" xfId="0" applyNumberFormat="1" applyFont="1" applyFill="1" applyBorder="1" applyAlignment="1">
      <alignment horizontal="center" vertical="top" wrapText="1"/>
    </xf>
    <xf numFmtId="167" fontId="7" fillId="0" borderId="27" xfId="0" applyNumberFormat="1" applyFont="1" applyFill="1" applyBorder="1" applyAlignment="1">
      <alignment horizontal="center" vertical="top" wrapText="1"/>
    </xf>
    <xf numFmtId="167" fontId="5" fillId="0" borderId="28" xfId="0" applyNumberFormat="1" applyFont="1" applyFill="1" applyBorder="1" applyAlignment="1">
      <alignment vertical="top" wrapText="1"/>
    </xf>
    <xf numFmtId="164" fontId="11" fillId="0" borderId="29" xfId="0" applyFont="1" applyFill="1" applyBorder="1" applyAlignment="1">
      <alignment horizontal="center" vertical="center" wrapText="1"/>
    </xf>
    <xf numFmtId="167" fontId="7" fillId="0" borderId="41" xfId="0" applyNumberFormat="1" applyFont="1" applyFill="1" applyBorder="1" applyAlignment="1">
      <alignment horizontal="center" vertical="top" wrapText="1"/>
    </xf>
    <xf numFmtId="167" fontId="7" fillId="0" borderId="42" xfId="0" applyNumberFormat="1" applyFont="1" applyFill="1" applyBorder="1" applyAlignment="1">
      <alignment vertical="top" wrapText="1"/>
    </xf>
    <xf numFmtId="164" fontId="11" fillId="0" borderId="43" xfId="0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vertical="top" wrapText="1"/>
    </xf>
    <xf numFmtId="167" fontId="7" fillId="0" borderId="24" xfId="0" applyNumberFormat="1" applyFont="1" applyFill="1" applyBorder="1" applyAlignment="1">
      <alignment vertical="top" wrapText="1"/>
    </xf>
    <xf numFmtId="164" fontId="7" fillId="0" borderId="24" xfId="0" applyFont="1" applyFill="1" applyBorder="1" applyAlignment="1">
      <alignment horizontal="center" vertical="top" wrapText="1"/>
    </xf>
    <xf numFmtId="167" fontId="5" fillId="0" borderId="35" xfId="0" applyNumberFormat="1" applyFont="1" applyFill="1" applyBorder="1" applyAlignment="1">
      <alignment horizontal="center" vertical="top" wrapText="1"/>
    </xf>
    <xf numFmtId="167" fontId="7" fillId="0" borderId="35" xfId="0" applyNumberFormat="1" applyFont="1" applyFill="1" applyBorder="1" applyAlignment="1">
      <alignment vertical="top" wrapText="1"/>
    </xf>
    <xf numFmtId="167" fontId="7" fillId="0" borderId="18" xfId="0" applyNumberFormat="1" applyFont="1" applyFill="1" applyBorder="1" applyAlignment="1">
      <alignment horizontal="center" vertical="top" wrapText="1"/>
    </xf>
    <xf numFmtId="164" fontId="4" fillId="0" borderId="42" xfId="0" applyFont="1" applyFill="1" applyBorder="1" applyAlignment="1">
      <alignment horizontal="center" vertical="center" wrapText="1"/>
    </xf>
    <xf numFmtId="164" fontId="4" fillId="0" borderId="44" xfId="0" applyFont="1" applyFill="1" applyBorder="1" applyAlignment="1">
      <alignment horizontal="center" vertical="center" wrapText="1"/>
    </xf>
    <xf numFmtId="173" fontId="15" fillId="0" borderId="21" xfId="0" applyNumberFormat="1" applyFont="1" applyFill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 wrapText="1"/>
    </xf>
    <xf numFmtId="167" fontId="7" fillId="0" borderId="45" xfId="0" applyNumberFormat="1" applyFont="1" applyFill="1" applyBorder="1" applyAlignment="1">
      <alignment horizontal="center" vertical="top" wrapText="1"/>
    </xf>
    <xf numFmtId="167" fontId="7" fillId="0" borderId="13" xfId="0" applyNumberFormat="1" applyFont="1" applyFill="1" applyBorder="1" applyAlignment="1">
      <alignment horizontal="center" vertical="top" wrapText="1"/>
    </xf>
    <xf numFmtId="167" fontId="7" fillId="0" borderId="11" xfId="0" applyNumberFormat="1" applyFont="1" applyFill="1" applyBorder="1" applyAlignment="1">
      <alignment horizontal="center" vertical="top" wrapText="1"/>
    </xf>
    <xf numFmtId="167" fontId="7" fillId="0" borderId="46" xfId="0" applyNumberFormat="1" applyFont="1" applyFill="1" applyBorder="1" applyAlignment="1">
      <alignment horizontal="center" vertical="top" wrapText="1"/>
    </xf>
    <xf numFmtId="167" fontId="7" fillId="0" borderId="33" xfId="0" applyNumberFormat="1" applyFont="1" applyFill="1" applyBorder="1" applyAlignment="1">
      <alignment horizontal="center" vertical="center" wrapText="1"/>
    </xf>
    <xf numFmtId="167" fontId="7" fillId="0" borderId="35" xfId="0" applyNumberFormat="1" applyFont="1" applyFill="1" applyBorder="1" applyAlignment="1">
      <alignment horizontal="center" vertical="center" wrapText="1"/>
    </xf>
    <xf numFmtId="167" fontId="7" fillId="0" borderId="36" xfId="0" applyNumberFormat="1" applyFont="1" applyFill="1" applyBorder="1" applyAlignment="1">
      <alignment horizontal="center" vertical="center" wrapText="1"/>
    </xf>
    <xf numFmtId="164" fontId="7" fillId="0" borderId="47" xfId="0" applyFont="1" applyFill="1" applyBorder="1" applyAlignment="1">
      <alignment horizontal="center" vertical="top" wrapText="1"/>
    </xf>
    <xf numFmtId="167" fontId="7" fillId="0" borderId="48" xfId="0" applyNumberFormat="1" applyFont="1" applyFill="1" applyBorder="1" applyAlignment="1">
      <alignment horizontal="center" vertical="top" wrapText="1"/>
    </xf>
    <xf numFmtId="164" fontId="4" fillId="0" borderId="49" xfId="0" applyFont="1" applyFill="1" applyBorder="1" applyAlignment="1">
      <alignment horizontal="left" vertical="top" wrapText="1"/>
    </xf>
    <xf numFmtId="164" fontId="4" fillId="0" borderId="50" xfId="0" applyFont="1" applyFill="1" applyBorder="1" applyAlignment="1">
      <alignment horizontal="left" vertical="top" wrapText="1"/>
    </xf>
    <xf numFmtId="164" fontId="4" fillId="0" borderId="51" xfId="0" applyFont="1" applyFill="1" applyBorder="1" applyAlignment="1">
      <alignment horizontal="left" vertical="top" wrapText="1"/>
    </xf>
    <xf numFmtId="164" fontId="7" fillId="0" borderId="41" xfId="0" applyFont="1" applyFill="1" applyBorder="1" applyAlignment="1">
      <alignment horizontal="center" vertical="top" wrapText="1"/>
    </xf>
    <xf numFmtId="166" fontId="5" fillId="0" borderId="33" xfId="0" applyNumberFormat="1" applyFont="1" applyFill="1" applyBorder="1" applyAlignment="1">
      <alignment horizontal="center" vertical="top"/>
    </xf>
    <xf numFmtId="164" fontId="4" fillId="0" borderId="35" xfId="0" applyFont="1" applyFill="1" applyBorder="1" applyAlignment="1">
      <alignment horizontal="center" vertical="top" wrapText="1"/>
    </xf>
    <xf numFmtId="164" fontId="7" fillId="0" borderId="9" xfId="0" applyFont="1" applyFill="1" applyBorder="1" applyAlignment="1">
      <alignment horizontal="center" vertical="top" wrapText="1"/>
    </xf>
    <xf numFmtId="164" fontId="11" fillId="0" borderId="4" xfId="0" applyFont="1" applyFill="1" applyBorder="1" applyAlignment="1">
      <alignment horizontal="center" vertical="center" wrapText="1"/>
    </xf>
    <xf numFmtId="164" fontId="7" fillId="0" borderId="11" xfId="0" applyFont="1" applyFill="1" applyBorder="1" applyAlignment="1">
      <alignment horizontal="center" vertical="top" wrapText="1"/>
    </xf>
    <xf numFmtId="164" fontId="7" fillId="0" borderId="40" xfId="0" applyFont="1" applyFill="1" applyBorder="1" applyAlignment="1">
      <alignment horizontal="center" vertical="top" wrapText="1"/>
    </xf>
    <xf numFmtId="167" fontId="5" fillId="0" borderId="27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top"/>
    </xf>
    <xf numFmtId="164" fontId="7" fillId="0" borderId="45" xfId="0" applyFont="1" applyFill="1" applyBorder="1" applyAlignment="1">
      <alignment horizontal="center" vertical="top" wrapText="1"/>
    </xf>
    <xf numFmtId="164" fontId="4" fillId="0" borderId="36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top"/>
    </xf>
    <xf numFmtId="164" fontId="4" fillId="0" borderId="18" xfId="0" applyFont="1" applyFill="1" applyBorder="1" applyAlignment="1">
      <alignment horizontal="left" vertical="top" wrapText="1"/>
    </xf>
    <xf numFmtId="164" fontId="7" fillId="0" borderId="19" xfId="0" applyFont="1" applyFill="1" applyBorder="1" applyAlignment="1">
      <alignment horizontal="center" vertical="top" wrapText="1"/>
    </xf>
    <xf numFmtId="168" fontId="5" fillId="0" borderId="18" xfId="15" applyFont="1" applyFill="1" applyBorder="1" applyAlignment="1" applyProtection="1">
      <alignment wrapText="1"/>
      <protection/>
    </xf>
    <xf numFmtId="164" fontId="11" fillId="0" borderId="18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top"/>
    </xf>
    <xf numFmtId="164" fontId="5" fillId="0" borderId="35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top" wrapText="1"/>
    </xf>
    <xf numFmtId="170" fontId="11" fillId="0" borderId="3" xfId="15" applyNumberFormat="1" applyFont="1" applyFill="1" applyBorder="1" applyAlignment="1" applyProtection="1">
      <alignment vertical="center" wrapText="1"/>
      <protection/>
    </xf>
    <xf numFmtId="164" fontId="8" fillId="0" borderId="4" xfId="0" applyFont="1" applyFill="1" applyBorder="1" applyAlignment="1">
      <alignment horizontal="left" vertical="top" wrapText="1"/>
    </xf>
    <xf numFmtId="164" fontId="18" fillId="0" borderId="0" xfId="0" applyFont="1" applyFill="1" applyAlignment="1">
      <alignment/>
    </xf>
    <xf numFmtId="164" fontId="7" fillId="0" borderId="52" xfId="0" applyFont="1" applyFill="1" applyBorder="1" applyAlignment="1">
      <alignment horizontal="center" vertical="top"/>
    </xf>
    <xf numFmtId="164" fontId="7" fillId="0" borderId="31" xfId="0" applyFont="1" applyFill="1" applyBorder="1" applyAlignment="1">
      <alignment horizontal="center" vertical="center" wrapText="1"/>
    </xf>
    <xf numFmtId="164" fontId="4" fillId="0" borderId="31" xfId="0" applyFont="1" applyFill="1" applyBorder="1" applyAlignment="1">
      <alignment horizontal="center" vertical="center" wrapText="1"/>
    </xf>
    <xf numFmtId="164" fontId="4" fillId="0" borderId="32" xfId="0" applyFont="1" applyFill="1" applyBorder="1" applyAlignment="1">
      <alignment horizontal="left" vertical="top" wrapText="1"/>
    </xf>
    <xf numFmtId="166" fontId="7" fillId="0" borderId="25" xfId="0" applyNumberFormat="1" applyFont="1" applyFill="1" applyBorder="1" applyAlignment="1">
      <alignment horizontal="center" vertical="top"/>
    </xf>
    <xf numFmtId="164" fontId="5" fillId="0" borderId="27" xfId="0" applyFont="1" applyFill="1" applyBorder="1" applyAlignment="1">
      <alignment horizontal="center" vertical="center" wrapText="1"/>
    </xf>
    <xf numFmtId="164" fontId="7" fillId="0" borderId="40" xfId="0" applyFont="1" applyFill="1" applyBorder="1" applyAlignment="1">
      <alignment horizontal="center" vertical="center" wrapText="1"/>
    </xf>
    <xf numFmtId="167" fontId="5" fillId="0" borderId="53" xfId="0" applyNumberFormat="1" applyFont="1" applyFill="1" applyBorder="1" applyAlignment="1">
      <alignment horizontal="center" vertical="center" wrapText="1"/>
    </xf>
    <xf numFmtId="164" fontId="4" fillId="0" borderId="28" xfId="0" applyFont="1" applyFill="1" applyBorder="1" applyAlignment="1">
      <alignment horizontal="center" vertical="center" wrapText="1"/>
    </xf>
    <xf numFmtId="164" fontId="4" fillId="0" borderId="54" xfId="0" applyFont="1" applyFill="1" applyBorder="1" applyAlignment="1">
      <alignment horizontal="left" vertical="top" wrapText="1"/>
    </xf>
    <xf numFmtId="164" fontId="7" fillId="0" borderId="33" xfId="0" applyFont="1" applyFill="1" applyBorder="1" applyAlignment="1">
      <alignment horizontal="center" vertical="top"/>
    </xf>
    <xf numFmtId="164" fontId="11" fillId="0" borderId="35" xfId="0" applyFont="1" applyFill="1" applyBorder="1" applyAlignment="1">
      <alignment horizontal="center" vertical="center" wrapText="1"/>
    </xf>
    <xf numFmtId="164" fontId="7" fillId="0" borderId="55" xfId="0" applyFont="1" applyFill="1" applyBorder="1" applyAlignment="1">
      <alignment horizontal="center" vertical="center" wrapText="1"/>
    </xf>
    <xf numFmtId="167" fontId="5" fillId="0" borderId="35" xfId="0" applyNumberFormat="1" applyFont="1" applyFill="1" applyBorder="1" applyAlignment="1">
      <alignment horizontal="center" vertical="center" wrapText="1"/>
    </xf>
    <xf numFmtId="164" fontId="4" fillId="0" borderId="35" xfId="0" applyFont="1" applyFill="1" applyBorder="1" applyAlignment="1">
      <alignment horizontal="center" vertical="center" wrapText="1"/>
    </xf>
    <xf numFmtId="164" fontId="4" fillId="0" borderId="38" xfId="0" applyFont="1" applyFill="1" applyBorder="1" applyAlignment="1">
      <alignment horizontal="left" vertical="top" wrapText="1"/>
    </xf>
    <xf numFmtId="164" fontId="19" fillId="0" borderId="34" xfId="0" applyFont="1" applyFill="1" applyBorder="1" applyAlignment="1">
      <alignment horizontal="center" vertical="center" wrapText="1"/>
    </xf>
    <xf numFmtId="164" fontId="7" fillId="0" borderId="33" xfId="0" applyFont="1" applyFill="1" applyBorder="1" applyAlignment="1">
      <alignment horizontal="center" vertical="center" wrapText="1"/>
    </xf>
    <xf numFmtId="164" fontId="4" fillId="0" borderId="29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horizontal="center" vertical="center" wrapText="1"/>
    </xf>
    <xf numFmtId="164" fontId="4" fillId="0" borderId="56" xfId="0" applyFont="1" applyFill="1" applyBorder="1" applyAlignment="1">
      <alignment horizontal="center" vertical="center" wrapText="1"/>
    </xf>
    <xf numFmtId="164" fontId="7" fillId="0" borderId="17" xfId="0" applyFont="1" applyFill="1" applyBorder="1" applyAlignment="1">
      <alignment horizontal="center" vertical="center" wrapText="1"/>
    </xf>
    <xf numFmtId="164" fontId="5" fillId="0" borderId="3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/>
    </xf>
    <xf numFmtId="164" fontId="3" fillId="0" borderId="33" xfId="0" applyFont="1" applyFill="1" applyBorder="1" applyAlignment="1">
      <alignment horizontal="center"/>
    </xf>
    <xf numFmtId="164" fontId="6" fillId="0" borderId="35" xfId="0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9" fontId="4" fillId="0" borderId="57" xfId="0" applyNumberFormat="1" applyFont="1" applyFill="1" applyBorder="1" applyAlignment="1">
      <alignment horizontal="center" vertical="center" wrapText="1"/>
    </xf>
    <xf numFmtId="169" fontId="4" fillId="0" borderId="29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169" fontId="4" fillId="0" borderId="24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top" wrapText="1"/>
    </xf>
    <xf numFmtId="169" fontId="4" fillId="0" borderId="56" xfId="0" applyNumberFormat="1" applyFont="1" applyFill="1" applyBorder="1" applyAlignment="1">
      <alignment horizontal="center" vertical="center" wrapText="1"/>
    </xf>
    <xf numFmtId="164" fontId="7" fillId="0" borderId="58" xfId="0" applyFont="1" applyFill="1" applyBorder="1" applyAlignment="1">
      <alignment horizontal="center" vertical="top" wrapText="1"/>
    </xf>
    <xf numFmtId="164" fontId="7" fillId="0" borderId="8" xfId="0" applyFont="1" applyFill="1" applyBorder="1" applyAlignment="1">
      <alignment horizontal="left" vertical="top" wrapText="1"/>
    </xf>
    <xf numFmtId="164" fontId="21" fillId="0" borderId="0" xfId="0" applyFont="1" applyFill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70" fontId="11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vertical="center" wrapText="1"/>
    </xf>
    <xf numFmtId="167" fontId="22" fillId="0" borderId="1" xfId="15" applyNumberFormat="1" applyFont="1" applyFill="1" applyBorder="1" applyAlignment="1" applyProtection="1">
      <alignment horizontal="center" vertical="center" wrapText="1"/>
      <protection/>
    </xf>
    <xf numFmtId="167" fontId="5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17" xfId="0" applyFont="1" applyFill="1" applyBorder="1" applyAlignment="1">
      <alignment horizontal="left" vertical="center" wrapText="1"/>
    </xf>
    <xf numFmtId="167" fontId="7" fillId="0" borderId="17" xfId="15" applyNumberFormat="1" applyFont="1" applyFill="1" applyBorder="1" applyAlignment="1" applyProtection="1">
      <alignment horizontal="center" vertical="center" wrapText="1"/>
      <protection/>
    </xf>
    <xf numFmtId="167" fontId="5" fillId="0" borderId="17" xfId="15" applyNumberFormat="1" applyFont="1" applyFill="1" applyBorder="1" applyAlignment="1" applyProtection="1">
      <alignment horizontal="center" vertical="center" wrapText="1"/>
      <protection/>
    </xf>
    <xf numFmtId="167" fontId="5" fillId="0" borderId="17" xfId="15" applyNumberFormat="1" applyFont="1" applyFill="1" applyBorder="1" applyAlignment="1" applyProtection="1">
      <alignment horizontal="center" vertical="center"/>
      <protection/>
    </xf>
    <xf numFmtId="164" fontId="4" fillId="0" borderId="33" xfId="0" applyFont="1" applyFill="1" applyBorder="1" applyAlignment="1">
      <alignment horizontal="left" vertical="center" wrapText="1"/>
    </xf>
    <xf numFmtId="164" fontId="7" fillId="0" borderId="35" xfId="0" applyFont="1" applyFill="1" applyBorder="1" applyAlignment="1">
      <alignment horizontal="center" vertical="center" wrapText="1"/>
    </xf>
    <xf numFmtId="167" fontId="7" fillId="0" borderId="35" xfId="15" applyNumberFormat="1" applyFont="1" applyFill="1" applyBorder="1" applyAlignment="1" applyProtection="1">
      <alignment horizontal="center" vertical="center" wrapText="1"/>
      <protection/>
    </xf>
    <xf numFmtId="167" fontId="7" fillId="0" borderId="36" xfId="15" applyNumberFormat="1" applyFont="1" applyFill="1" applyBorder="1" applyAlignment="1" applyProtection="1">
      <alignment horizontal="center" vertical="center" wrapText="1"/>
      <protection/>
    </xf>
    <xf numFmtId="170" fontId="11" fillId="0" borderId="11" xfId="15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Font="1" applyFill="1" applyBorder="1" applyAlignment="1">
      <alignment horizontal="left" vertical="center" wrapText="1"/>
    </xf>
    <xf numFmtId="167" fontId="5" fillId="0" borderId="15" xfId="15" applyNumberFormat="1" applyFont="1" applyFill="1" applyBorder="1" applyAlignment="1" applyProtection="1">
      <alignment horizontal="center" vertical="center" wrapText="1"/>
      <protection/>
    </xf>
    <xf numFmtId="167" fontId="7" fillId="0" borderId="15" xfId="15" applyNumberFormat="1" applyFont="1" applyFill="1" applyBorder="1" applyAlignment="1" applyProtection="1">
      <alignment horizontal="center" vertical="center" wrapText="1"/>
      <protection/>
    </xf>
    <xf numFmtId="170" fontId="11" fillId="0" borderId="1" xfId="15" applyNumberFormat="1" applyFont="1" applyFill="1" applyBorder="1" applyAlignment="1" applyProtection="1">
      <alignment vertical="center" wrapText="1"/>
      <protection/>
    </xf>
    <xf numFmtId="170" fontId="4" fillId="0" borderId="1" xfId="15" applyNumberFormat="1" applyFont="1" applyFill="1" applyBorder="1" applyAlignment="1" applyProtection="1">
      <alignment vertical="center" wrapText="1"/>
      <protection/>
    </xf>
    <xf numFmtId="164" fontId="4" fillId="0" borderId="14" xfId="0" applyFont="1" applyFill="1" applyBorder="1" applyAlignment="1">
      <alignment horizontal="left" vertical="center" wrapText="1"/>
    </xf>
    <xf numFmtId="170" fontId="4" fillId="0" borderId="11" xfId="15" applyNumberFormat="1" applyFont="1" applyFill="1" applyBorder="1" applyAlignment="1" applyProtection="1">
      <alignment vertical="center" wrapText="1"/>
      <protection/>
    </xf>
    <xf numFmtId="164" fontId="7" fillId="0" borderId="18" xfId="0" applyFont="1" applyFill="1" applyBorder="1" applyAlignment="1">
      <alignment horizontal="center" vertical="center" wrapText="1"/>
    </xf>
    <xf numFmtId="167" fontId="5" fillId="0" borderId="18" xfId="15" applyNumberFormat="1" applyFont="1" applyFill="1" applyBorder="1" applyAlignment="1" applyProtection="1">
      <alignment horizontal="center" vertical="center" wrapText="1"/>
      <protection/>
    </xf>
    <xf numFmtId="167" fontId="7" fillId="0" borderId="18" xfId="15" applyNumberFormat="1" applyFont="1" applyFill="1" applyBorder="1" applyAlignment="1" applyProtection="1">
      <alignment horizontal="center" vertical="center" wrapText="1"/>
      <protection/>
    </xf>
    <xf numFmtId="170" fontId="11" fillId="0" borderId="11" xfId="15" applyNumberFormat="1" applyFont="1" applyFill="1" applyBorder="1" applyAlignment="1" applyProtection="1">
      <alignment vertical="center" wrapText="1"/>
      <protection/>
    </xf>
    <xf numFmtId="164" fontId="4" fillId="0" borderId="24" xfId="0" applyFont="1" applyFill="1" applyBorder="1" applyAlignment="1">
      <alignment horizontal="left" vertical="center" wrapText="1"/>
    </xf>
    <xf numFmtId="170" fontId="11" fillId="0" borderId="16" xfId="15" applyNumberFormat="1" applyFont="1" applyFill="1" applyBorder="1" applyAlignment="1" applyProtection="1">
      <alignment vertical="center" wrapText="1"/>
      <protection/>
    </xf>
    <xf numFmtId="164" fontId="11" fillId="0" borderId="17" xfId="0" applyFont="1" applyFill="1" applyBorder="1" applyAlignment="1">
      <alignment horizontal="left" vertical="center" wrapText="1"/>
    </xf>
    <xf numFmtId="164" fontId="4" fillId="0" borderId="24" xfId="0" applyFont="1" applyFill="1" applyBorder="1" applyAlignment="1">
      <alignment horizontal="center" vertical="top" wrapText="1"/>
    </xf>
    <xf numFmtId="164" fontId="23" fillId="0" borderId="1" xfId="0" applyFont="1" applyFill="1" applyBorder="1" applyAlignment="1">
      <alignment vertical="top" wrapText="1"/>
    </xf>
    <xf numFmtId="174" fontId="5" fillId="0" borderId="1" xfId="0" applyNumberFormat="1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wrapText="1"/>
    </xf>
    <xf numFmtId="170" fontId="11" fillId="0" borderId="17" xfId="15" applyNumberFormat="1" applyFont="1" applyFill="1" applyBorder="1" applyAlignment="1" applyProtection="1">
      <alignment horizontal="center" vertical="center" wrapText="1"/>
      <protection/>
    </xf>
    <xf numFmtId="170" fontId="11" fillId="0" borderId="15" xfId="15" applyNumberFormat="1" applyFont="1" applyFill="1" applyBorder="1" applyAlignment="1" applyProtection="1">
      <alignment horizontal="center" vertical="center" wrapText="1"/>
      <protection/>
    </xf>
    <xf numFmtId="169" fontId="5" fillId="0" borderId="17" xfId="15" applyNumberFormat="1" applyFont="1" applyFill="1" applyBorder="1" applyAlignment="1" applyProtection="1">
      <alignment horizontal="center" vertical="center" wrapText="1"/>
      <protection/>
    </xf>
    <xf numFmtId="170" fontId="11" fillId="0" borderId="18" xfId="15" applyNumberFormat="1" applyFont="1" applyFill="1" applyBorder="1" applyAlignment="1" applyProtection="1">
      <alignment horizontal="center" vertical="center" wrapText="1"/>
      <protection/>
    </xf>
    <xf numFmtId="167" fontId="5" fillId="0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11" fillId="0" borderId="1" xfId="0" applyFont="1" applyFill="1" applyBorder="1" applyAlignment="1">
      <alignment horizontal="justify" vertical="top" wrapText="1"/>
    </xf>
    <xf numFmtId="164" fontId="7" fillId="0" borderId="16" xfId="0" applyFont="1" applyFill="1" applyBorder="1" applyAlignment="1">
      <alignment horizontal="center" vertical="center" wrapText="1"/>
    </xf>
    <xf numFmtId="164" fontId="11" fillId="0" borderId="16" xfId="0" applyFont="1" applyFill="1" applyBorder="1" applyAlignment="1">
      <alignment/>
    </xf>
    <xf numFmtId="164" fontId="14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justify" vertical="center" wrapText="1"/>
    </xf>
    <xf numFmtId="164" fontId="23" fillId="0" borderId="15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left" wrapText="1"/>
    </xf>
    <xf numFmtId="169" fontId="5" fillId="0" borderId="1" xfId="0" applyNumberFormat="1" applyFont="1" applyFill="1" applyBorder="1" applyAlignment="1">
      <alignment horizontal="center" vertical="top" wrapText="1"/>
    </xf>
    <xf numFmtId="164" fontId="11" fillId="0" borderId="15" xfId="0" applyFont="1" applyFill="1" applyBorder="1" applyAlignment="1">
      <alignment vertical="top" wrapText="1"/>
    </xf>
    <xf numFmtId="169" fontId="5" fillId="0" borderId="17" xfId="0" applyNumberFormat="1" applyFont="1" applyFill="1" applyBorder="1" applyAlignment="1">
      <alignment horizontal="center" vertical="top" wrapText="1"/>
    </xf>
    <xf numFmtId="164" fontId="4" fillId="0" borderId="29" xfId="0" applyFont="1" applyFill="1" applyBorder="1" applyAlignment="1">
      <alignment horizontal="left" vertical="center" wrapText="1"/>
    </xf>
    <xf numFmtId="170" fontId="11" fillId="0" borderId="29" xfId="15" applyNumberFormat="1" applyFont="1" applyFill="1" applyBorder="1" applyAlignment="1" applyProtection="1">
      <alignment vertical="center" wrapText="1"/>
      <protection/>
    </xf>
    <xf numFmtId="164" fontId="4" fillId="0" borderId="14" xfId="0" applyFont="1" applyFill="1" applyBorder="1" applyAlignment="1">
      <alignment horizontal="center" vertical="top" wrapText="1"/>
    </xf>
    <xf numFmtId="170" fontId="11" fillId="0" borderId="15" xfId="15" applyNumberFormat="1" applyFont="1" applyFill="1" applyBorder="1" applyAlignment="1" applyProtection="1">
      <alignment vertical="center" wrapText="1"/>
      <protection/>
    </xf>
    <xf numFmtId="167" fontId="5" fillId="0" borderId="1" xfId="15" applyNumberFormat="1" applyFont="1" applyFill="1" applyBorder="1" applyAlignment="1" applyProtection="1">
      <alignment horizontal="center" vertical="top" wrapText="1"/>
      <protection/>
    </xf>
    <xf numFmtId="167" fontId="7" fillId="0" borderId="1" xfId="15" applyNumberFormat="1" applyFont="1" applyFill="1" applyBorder="1" applyAlignment="1" applyProtection="1">
      <alignment horizontal="center" vertical="top" wrapText="1"/>
      <protection/>
    </xf>
    <xf numFmtId="164" fontId="7" fillId="0" borderId="17" xfId="0" applyFont="1" applyFill="1" applyBorder="1" applyAlignment="1">
      <alignment horizontal="center" vertical="top" wrapText="1"/>
    </xf>
    <xf numFmtId="167" fontId="5" fillId="0" borderId="17" xfId="15" applyNumberFormat="1" applyFont="1" applyFill="1" applyBorder="1" applyAlignment="1" applyProtection="1">
      <alignment horizontal="center" vertical="top" wrapText="1"/>
      <protection/>
    </xf>
    <xf numFmtId="167" fontId="7" fillId="0" borderId="17" xfId="15" applyNumberFormat="1" applyFont="1" applyFill="1" applyBorder="1" applyAlignment="1" applyProtection="1">
      <alignment horizontal="center" vertical="top" wrapText="1"/>
      <protection/>
    </xf>
    <xf numFmtId="164" fontId="4" fillId="0" borderId="14" xfId="0" applyFont="1" applyFill="1" applyBorder="1" applyAlignment="1">
      <alignment vertical="center" wrapText="1"/>
    </xf>
    <xf numFmtId="167" fontId="7" fillId="0" borderId="35" xfId="15" applyNumberFormat="1" applyFont="1" applyFill="1" applyBorder="1" applyAlignment="1" applyProtection="1">
      <alignment horizontal="center" vertical="top" wrapText="1"/>
      <protection/>
    </xf>
    <xf numFmtId="167" fontId="7" fillId="0" borderId="36" xfId="15" applyNumberFormat="1" applyFont="1" applyFill="1" applyBorder="1" applyAlignment="1" applyProtection="1">
      <alignment horizontal="center" vertical="top" wrapText="1"/>
      <protection/>
    </xf>
    <xf numFmtId="170" fontId="8" fillId="0" borderId="11" xfId="15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Font="1" applyFill="1" applyBorder="1" applyAlignment="1">
      <alignment horizontal="center" vertical="top" wrapText="1"/>
    </xf>
    <xf numFmtId="164" fontId="4" fillId="0" borderId="24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5" fillId="0" borderId="15" xfId="0" applyFont="1" applyFill="1" applyBorder="1" applyAlignment="1">
      <alignment horizontal="center" vertical="top" wrapText="1"/>
    </xf>
    <xf numFmtId="167" fontId="5" fillId="0" borderId="15" xfId="15" applyNumberFormat="1" applyFont="1" applyFill="1" applyBorder="1" applyAlignment="1" applyProtection="1">
      <alignment horizontal="center" wrapText="1"/>
      <protection/>
    </xf>
    <xf numFmtId="167" fontId="5" fillId="0" borderId="15" xfId="15" applyNumberFormat="1" applyFont="1" applyFill="1" applyBorder="1" applyAlignment="1" applyProtection="1">
      <alignment horizontal="center" vertical="top" wrapText="1"/>
      <protection/>
    </xf>
    <xf numFmtId="167" fontId="7" fillId="0" borderId="15" xfId="15" applyNumberFormat="1" applyFont="1" applyFill="1" applyBorder="1" applyAlignment="1" applyProtection="1">
      <alignment horizontal="center" vertical="top" wrapText="1"/>
      <protection/>
    </xf>
    <xf numFmtId="170" fontId="8" fillId="0" borderId="1" xfId="15" applyNumberFormat="1" applyFont="1" applyFill="1" applyBorder="1" applyAlignment="1" applyProtection="1">
      <alignment horizontal="center" vertical="center" wrapText="1"/>
      <protection/>
    </xf>
    <xf numFmtId="167" fontId="5" fillId="0" borderId="1" xfId="15" applyNumberFormat="1" applyFont="1" applyFill="1" applyBorder="1" applyAlignment="1" applyProtection="1">
      <alignment horizontal="center" wrapText="1"/>
      <protection/>
    </xf>
    <xf numFmtId="170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7" xfId="0" applyFont="1" applyFill="1" applyBorder="1" applyAlignment="1">
      <alignment vertical="center" wrapText="1"/>
    </xf>
    <xf numFmtId="167" fontId="5" fillId="0" borderId="17" xfId="15" applyNumberFormat="1" applyFont="1" applyFill="1" applyBorder="1" applyAlignment="1" applyProtection="1">
      <alignment horizontal="center" wrapText="1"/>
      <protection/>
    </xf>
    <xf numFmtId="170" fontId="4" fillId="0" borderId="17" xfId="15" applyNumberFormat="1" applyFont="1" applyFill="1" applyBorder="1" applyAlignment="1" applyProtection="1">
      <alignment horizontal="center" vertical="center" wrapText="1"/>
      <protection/>
    </xf>
    <xf numFmtId="170" fontId="4" fillId="0" borderId="29" xfId="15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Font="1" applyFill="1" applyBorder="1" applyAlignment="1">
      <alignment vertical="center" wrapText="1"/>
    </xf>
    <xf numFmtId="170" fontId="4" fillId="0" borderId="30" xfId="15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Font="1" applyFill="1" applyBorder="1" applyAlignment="1">
      <alignment horizontal="left" vertical="center" wrapText="1"/>
    </xf>
    <xf numFmtId="164" fontId="5" fillId="0" borderId="17" xfId="0" applyFont="1" applyFill="1" applyBorder="1" applyAlignment="1">
      <alignment horizontal="center" vertical="top" wrapText="1"/>
    </xf>
    <xf numFmtId="170" fontId="4" fillId="0" borderId="23" xfId="15" applyNumberFormat="1" applyFont="1" applyFill="1" applyBorder="1" applyAlignment="1" applyProtection="1">
      <alignment horizontal="center" vertical="center" wrapText="1"/>
      <protection/>
    </xf>
    <xf numFmtId="164" fontId="7" fillId="0" borderId="35" xfId="0" applyFont="1" applyFill="1" applyBorder="1" applyAlignment="1">
      <alignment horizontal="center" vertical="top" wrapText="1"/>
    </xf>
    <xf numFmtId="170" fontId="8" fillId="0" borderId="29" xfId="15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Font="1" applyFill="1" applyBorder="1" applyAlignment="1">
      <alignment horizontal="left" vertical="center" wrapText="1"/>
    </xf>
    <xf numFmtId="167" fontId="5" fillId="0" borderId="3" xfId="15" applyNumberFormat="1" applyFont="1" applyFill="1" applyBorder="1" applyAlignment="1" applyProtection="1">
      <alignment horizontal="center" vertical="center" wrapText="1"/>
      <protection/>
    </xf>
    <xf numFmtId="170" fontId="4" fillId="0" borderId="6" xfId="15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Font="1" applyFill="1" applyBorder="1" applyAlignment="1">
      <alignment horizontal="center" vertical="center" wrapText="1"/>
    </xf>
    <xf numFmtId="164" fontId="4" fillId="0" borderId="12" xfId="0" applyFont="1" applyFill="1" applyBorder="1" applyAlignment="1">
      <alignment horizontal="left" vertical="center" wrapText="1"/>
    </xf>
    <xf numFmtId="164" fontId="4" fillId="0" borderId="47" xfId="0" applyFont="1" applyFill="1" applyBorder="1" applyAlignment="1">
      <alignment horizontal="left" vertical="center" wrapText="1"/>
    </xf>
    <xf numFmtId="170" fontId="4" fillId="0" borderId="36" xfId="15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Font="1" applyFill="1" applyBorder="1" applyAlignment="1">
      <alignment vertical="top" wrapText="1"/>
    </xf>
    <xf numFmtId="164" fontId="4" fillId="0" borderId="59" xfId="0" applyFont="1" applyFill="1" applyBorder="1" applyAlignment="1">
      <alignment horizontal="center" vertical="center" wrapText="1"/>
    </xf>
    <xf numFmtId="167" fontId="5" fillId="0" borderId="35" xfId="15" applyNumberFormat="1" applyFont="1" applyFill="1" applyBorder="1" applyAlignment="1" applyProtection="1">
      <alignment horizontal="center" vertical="center" wrapText="1"/>
      <protection/>
    </xf>
    <xf numFmtId="167" fontId="22" fillId="0" borderId="17" xfId="15" applyNumberFormat="1" applyFont="1" applyFill="1" applyBorder="1" applyAlignment="1" applyProtection="1">
      <alignment horizontal="center" vertical="center" wrapText="1"/>
      <protection/>
    </xf>
    <xf numFmtId="167" fontId="5" fillId="0" borderId="34" xfId="15" applyNumberFormat="1" applyFont="1" applyFill="1" applyBorder="1" applyAlignment="1" applyProtection="1">
      <alignment horizontal="center" vertical="center" wrapText="1"/>
      <protection/>
    </xf>
    <xf numFmtId="167" fontId="22" fillId="0" borderId="29" xfId="15" applyNumberFormat="1" applyFont="1" applyFill="1" applyBorder="1" applyAlignment="1" applyProtection="1">
      <alignment horizontal="center" vertical="center" wrapText="1"/>
      <protection/>
    </xf>
    <xf numFmtId="167" fontId="5" fillId="0" borderId="45" xfId="15" applyNumberFormat="1" applyFont="1" applyFill="1" applyBorder="1" applyAlignment="1" applyProtection="1">
      <alignment horizontal="center" vertical="center" wrapText="1"/>
      <protection/>
    </xf>
    <xf numFmtId="167" fontId="22" fillId="0" borderId="35" xfId="15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Font="1" applyFill="1" applyBorder="1" applyAlignment="1">
      <alignment horizontal="justify" vertical="center" wrapText="1"/>
    </xf>
    <xf numFmtId="167" fontId="5" fillId="0" borderId="29" xfId="15" applyNumberFormat="1" applyFont="1" applyFill="1" applyBorder="1" applyAlignment="1" applyProtection="1">
      <alignment horizontal="center" vertical="center" wrapText="1"/>
      <protection/>
    </xf>
    <xf numFmtId="176" fontId="22" fillId="0" borderId="1" xfId="0" applyNumberFormat="1" applyFont="1" applyFill="1" applyBorder="1" applyAlignment="1">
      <alignment horizontal="center" vertical="center" wrapText="1"/>
    </xf>
    <xf numFmtId="164" fontId="14" fillId="0" borderId="14" xfId="0" applyFont="1" applyFill="1" applyBorder="1" applyAlignment="1">
      <alignment vertical="center" wrapText="1"/>
    </xf>
    <xf numFmtId="164" fontId="4" fillId="0" borderId="54" xfId="0" applyFont="1" applyFill="1" applyBorder="1" applyAlignment="1">
      <alignment vertical="center" wrapText="1"/>
    </xf>
    <xf numFmtId="164" fontId="4" fillId="0" borderId="60" xfId="0" applyFont="1" applyFill="1" applyBorder="1" applyAlignment="1">
      <alignment horizontal="center" vertical="center" wrapText="1"/>
    </xf>
    <xf numFmtId="164" fontId="4" fillId="0" borderId="54" xfId="0" applyFont="1" applyFill="1" applyBorder="1" applyAlignment="1">
      <alignment horizontal="center" vertical="center" wrapText="1"/>
    </xf>
    <xf numFmtId="164" fontId="4" fillId="0" borderId="54" xfId="0" applyFont="1" applyFill="1" applyBorder="1" applyAlignment="1">
      <alignment horizontal="left" vertical="center" wrapText="1"/>
    </xf>
    <xf numFmtId="167" fontId="7" fillId="0" borderId="27" xfId="15" applyNumberFormat="1" applyFont="1" applyFill="1" applyBorder="1" applyAlignment="1" applyProtection="1">
      <alignment horizontal="center" vertical="top" wrapText="1"/>
      <protection/>
    </xf>
    <xf numFmtId="167" fontId="7" fillId="0" borderId="28" xfId="15" applyNumberFormat="1" applyFont="1" applyFill="1" applyBorder="1" applyAlignment="1" applyProtection="1">
      <alignment horizontal="center" vertical="top" wrapText="1"/>
      <protection/>
    </xf>
    <xf numFmtId="170" fontId="8" fillId="0" borderId="13" xfId="15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Font="1" applyFill="1" applyBorder="1" applyAlignment="1">
      <alignment vertical="top" wrapText="1"/>
    </xf>
    <xf numFmtId="164" fontId="11" fillId="0" borderId="17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left" vertical="top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vertical="center"/>
    </xf>
    <xf numFmtId="168" fontId="5" fillId="0" borderId="1" xfId="15" applyFont="1" applyFill="1" applyBorder="1" applyAlignment="1" applyProtection="1">
      <alignment vertical="center"/>
      <protection/>
    </xf>
    <xf numFmtId="177" fontId="5" fillId="0" borderId="1" xfId="15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/>
    </xf>
    <xf numFmtId="164" fontId="4" fillId="0" borderId="23" xfId="0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center" vertical="top"/>
    </xf>
    <xf numFmtId="164" fontId="4" fillId="0" borderId="16" xfId="0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vertical="center"/>
    </xf>
    <xf numFmtId="168" fontId="5" fillId="0" borderId="17" xfId="15" applyFont="1" applyFill="1" applyBorder="1" applyAlignment="1" applyProtection="1">
      <alignment vertical="center"/>
      <protection/>
    </xf>
    <xf numFmtId="177" fontId="5" fillId="0" borderId="17" xfId="15" applyNumberFormat="1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>
      <alignment horizontal="center" vertical="center"/>
    </xf>
    <xf numFmtId="164" fontId="4" fillId="0" borderId="17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70" fontId="7" fillId="0" borderId="17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vertical="top"/>
    </xf>
    <xf numFmtId="164" fontId="4" fillId="0" borderId="61" xfId="0" applyFont="1" applyFill="1" applyBorder="1" applyAlignment="1">
      <alignment horizontal="center" vertical="center" wrapText="1"/>
    </xf>
    <xf numFmtId="164" fontId="4" fillId="0" borderId="43" xfId="0" applyFont="1" applyFill="1" applyBorder="1" applyAlignment="1">
      <alignment horizontal="center" vertical="center" wrapText="1"/>
    </xf>
    <xf numFmtId="170" fontId="4" fillId="0" borderId="3" xfId="15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Font="1" applyFill="1" applyBorder="1" applyAlignment="1">
      <alignment horizontal="left" vertical="top" wrapText="1"/>
    </xf>
    <xf numFmtId="164" fontId="4" fillId="0" borderId="8" xfId="0" applyFont="1" applyFill="1" applyBorder="1" applyAlignment="1">
      <alignment horizontal="center" vertical="center" wrapText="1"/>
    </xf>
    <xf numFmtId="164" fontId="4" fillId="0" borderId="62" xfId="0" applyFont="1" applyFill="1" applyBorder="1" applyAlignment="1">
      <alignment horizontal="center" vertical="center" wrapText="1"/>
    </xf>
    <xf numFmtId="164" fontId="5" fillId="0" borderId="46" xfId="0" applyFont="1" applyFill="1" applyBorder="1" applyAlignment="1">
      <alignment horizontal="center" vertical="center" wrapText="1"/>
    </xf>
    <xf numFmtId="167" fontId="5" fillId="0" borderId="31" xfId="15" applyNumberFormat="1" applyFont="1" applyFill="1" applyBorder="1" applyAlignment="1" applyProtection="1">
      <alignment horizontal="center" vertical="center" wrapText="1"/>
      <protection/>
    </xf>
    <xf numFmtId="170" fontId="4" fillId="0" borderId="31" xfId="15" applyNumberFormat="1" applyFont="1" applyFill="1" applyBorder="1" applyAlignment="1" applyProtection="1">
      <alignment horizontal="center" vertical="center" wrapText="1"/>
      <protection/>
    </xf>
    <xf numFmtId="166" fontId="5" fillId="0" borderId="61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4" fillId="0" borderId="42" xfId="0" applyFont="1" applyFill="1" applyBorder="1" applyAlignment="1">
      <alignment horizontal="left" vertical="top" wrapText="1"/>
    </xf>
    <xf numFmtId="164" fontId="4" fillId="0" borderId="58" xfId="0" applyFont="1" applyFill="1" applyBorder="1" applyAlignment="1">
      <alignment horizontal="center" vertical="center" wrapText="1"/>
    </xf>
    <xf numFmtId="170" fontId="4" fillId="0" borderId="15" xfId="15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Font="1" applyFill="1" applyBorder="1" applyAlignment="1">
      <alignment horizontal="left" vertical="top" wrapText="1"/>
    </xf>
    <xf numFmtId="164" fontId="4" fillId="0" borderId="14" xfId="0" applyFont="1" applyFill="1" applyBorder="1" applyAlignment="1">
      <alignment horizontal="left" vertical="top" wrapText="1"/>
    </xf>
    <xf numFmtId="166" fontId="5" fillId="0" borderId="21" xfId="0" applyNumberFormat="1" applyFont="1" applyFill="1" applyBorder="1" applyAlignment="1">
      <alignment horizontal="center" vertical="top"/>
    </xf>
    <xf numFmtId="164" fontId="4" fillId="0" borderId="24" xfId="0" applyFont="1" applyFill="1" applyBorder="1" applyAlignment="1">
      <alignment horizontal="left" vertical="top" wrapText="1"/>
    </xf>
    <xf numFmtId="164" fontId="4" fillId="0" borderId="59" xfId="0" applyFont="1" applyFill="1" applyBorder="1" applyAlignment="1">
      <alignment horizontal="left" vertical="top" wrapText="1"/>
    </xf>
    <xf numFmtId="164" fontId="5" fillId="0" borderId="16" xfId="0" applyFont="1" applyFill="1" applyBorder="1" applyAlignment="1">
      <alignment horizontal="center" vertical="center" wrapText="1"/>
    </xf>
    <xf numFmtId="166" fontId="7" fillId="0" borderId="64" xfId="0" applyNumberFormat="1" applyFont="1" applyFill="1" applyBorder="1" applyAlignment="1">
      <alignment horizontal="center" vertical="top"/>
    </xf>
    <xf numFmtId="164" fontId="8" fillId="0" borderId="29" xfId="0" applyFont="1" applyFill="1" applyBorder="1" applyAlignment="1">
      <alignment horizontal="center" vertical="top" wrapText="1"/>
    </xf>
    <xf numFmtId="164" fontId="7" fillId="0" borderId="45" xfId="0" applyFont="1" applyFill="1" applyBorder="1" applyAlignment="1">
      <alignment horizontal="center" vertical="center" wrapText="1"/>
    </xf>
    <xf numFmtId="170" fontId="8" fillId="0" borderId="35" xfId="15" applyNumberFormat="1" applyFont="1" applyFill="1" applyBorder="1" applyAlignment="1" applyProtection="1">
      <alignment horizontal="center" vertical="center" wrapText="1"/>
      <protection/>
    </xf>
    <xf numFmtId="164" fontId="8" fillId="0" borderId="36" xfId="0" applyFont="1" applyFill="1" applyBorder="1" applyAlignment="1">
      <alignment horizontal="left" vertical="top" wrapText="1"/>
    </xf>
    <xf numFmtId="164" fontId="8" fillId="0" borderId="65" xfId="0" applyFont="1" applyFill="1" applyBorder="1" applyAlignment="1">
      <alignment horizontal="center" vertical="top" wrapText="1"/>
    </xf>
    <xf numFmtId="164" fontId="8" fillId="0" borderId="58" xfId="0" applyFont="1" applyFill="1" applyBorder="1" applyAlignment="1">
      <alignment horizontal="center" vertical="top" wrapText="1"/>
    </xf>
    <xf numFmtId="164" fontId="4" fillId="0" borderId="20" xfId="0" applyFont="1" applyFill="1" applyBorder="1" applyAlignment="1">
      <alignment horizontal="left" vertical="top" wrapText="1"/>
    </xf>
    <xf numFmtId="164" fontId="8" fillId="0" borderId="50" xfId="0" applyFont="1" applyFill="1" applyBorder="1" applyAlignment="1">
      <alignment horizontal="center" vertical="top" wrapText="1"/>
    </xf>
    <xf numFmtId="164" fontId="7" fillId="0" borderId="66" xfId="0" applyNumberFormat="1" applyFont="1" applyFill="1" applyBorder="1" applyAlignment="1">
      <alignment horizontal="center" vertical="top"/>
    </xf>
    <xf numFmtId="164" fontId="8" fillId="0" borderId="59" xfId="0" applyFont="1" applyFill="1" applyBorder="1" applyAlignment="1">
      <alignment horizontal="center" vertical="top" wrapText="1"/>
    </xf>
    <xf numFmtId="173" fontId="8" fillId="0" borderId="7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center" wrapText="1"/>
    </xf>
    <xf numFmtId="164" fontId="4" fillId="0" borderId="51" xfId="0" applyFont="1" applyFill="1" applyBorder="1" applyAlignment="1">
      <alignment vertical="top" wrapText="1"/>
    </xf>
    <xf numFmtId="170" fontId="4" fillId="0" borderId="54" xfId="15" applyNumberFormat="1" applyFont="1" applyFill="1" applyBorder="1" applyAlignment="1" applyProtection="1">
      <alignment horizontal="center" vertical="center" wrapText="1"/>
      <protection/>
    </xf>
    <xf numFmtId="164" fontId="7" fillId="0" borderId="19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7" fillId="0" borderId="63" xfId="0" applyNumberFormat="1" applyFont="1" applyFill="1" applyBorder="1" applyAlignment="1">
      <alignment horizontal="center" vertical="top"/>
    </xf>
    <xf numFmtId="164" fontId="8" fillId="0" borderId="54" xfId="0" applyFont="1" applyFill="1" applyBorder="1" applyAlignment="1">
      <alignment horizontal="center" vertical="top" wrapText="1"/>
    </xf>
    <xf numFmtId="164" fontId="4" fillId="0" borderId="23" xfId="0" applyFont="1" applyFill="1" applyBorder="1" applyAlignment="1">
      <alignment vertical="top" wrapText="1"/>
    </xf>
    <xf numFmtId="164" fontId="3" fillId="0" borderId="61" xfId="0" applyFont="1" applyFill="1" applyBorder="1" applyAlignment="1">
      <alignment horizontal="center"/>
    </xf>
    <xf numFmtId="164" fontId="6" fillId="0" borderId="29" xfId="0" applyFont="1" applyFill="1" applyBorder="1" applyAlignment="1">
      <alignment horizontal="center" vertical="top" wrapText="1"/>
    </xf>
    <xf numFmtId="164" fontId="6" fillId="0" borderId="67" xfId="0" applyFont="1" applyFill="1" applyBorder="1" applyAlignment="1">
      <alignment horizontal="center" vertical="top" wrapText="1"/>
    </xf>
    <xf numFmtId="167" fontId="7" fillId="0" borderId="3" xfId="15" applyNumberFormat="1" applyFont="1" applyFill="1" applyBorder="1" applyAlignment="1" applyProtection="1">
      <alignment horizontal="center" vertical="center" wrapText="1"/>
      <protection/>
    </xf>
    <xf numFmtId="167" fontId="5" fillId="0" borderId="3" xfId="15" applyNumberFormat="1" applyFont="1" applyFill="1" applyBorder="1" applyAlignment="1" applyProtection="1">
      <alignment horizontal="center" vertical="top" wrapText="1"/>
      <protection/>
    </xf>
    <xf numFmtId="167" fontId="7" fillId="0" borderId="3" xfId="15" applyNumberFormat="1" applyFont="1" applyFill="1" applyBorder="1" applyAlignment="1" applyProtection="1">
      <alignment horizontal="center" vertical="top" wrapText="1"/>
      <protection/>
    </xf>
    <xf numFmtId="170" fontId="4" fillId="0" borderId="4" xfId="15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Font="1" applyFill="1" applyBorder="1" applyAlignment="1">
      <alignment horizontal="center" vertical="top" wrapText="1"/>
    </xf>
    <xf numFmtId="170" fontId="4" fillId="0" borderId="51" xfId="15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Font="1" applyFill="1" applyBorder="1" applyAlignment="1">
      <alignment horizontal="center" vertical="top" wrapText="1"/>
    </xf>
    <xf numFmtId="164" fontId="7" fillId="0" borderId="46" xfId="0" applyFont="1" applyFill="1" applyBorder="1" applyAlignment="1">
      <alignment horizontal="center" vertical="top" wrapText="1"/>
    </xf>
    <xf numFmtId="167" fontId="7" fillId="0" borderId="31" xfId="15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Font="1" applyFill="1" applyBorder="1" applyAlignment="1">
      <alignment horizontal="center" vertical="top"/>
    </xf>
    <xf numFmtId="164" fontId="0" fillId="0" borderId="44" xfId="0" applyFill="1" applyBorder="1" applyAlignment="1">
      <alignment horizontal="center" vertical="top"/>
    </xf>
    <xf numFmtId="164" fontId="0" fillId="0" borderId="44" xfId="0" applyFont="1" applyFill="1" applyBorder="1" applyAlignment="1">
      <alignment horizontal="center" vertical="top"/>
    </xf>
    <xf numFmtId="164" fontId="0" fillId="0" borderId="50" xfId="0" applyFill="1" applyBorder="1" applyAlignment="1">
      <alignment horizontal="center" vertical="top"/>
    </xf>
    <xf numFmtId="164" fontId="7" fillId="0" borderId="64" xfId="0" applyFont="1" applyFill="1" applyBorder="1" applyAlignment="1">
      <alignment horizontal="left" vertical="top"/>
    </xf>
    <xf numFmtId="164" fontId="6" fillId="0" borderId="54" xfId="0" applyFont="1" applyFill="1" applyBorder="1" applyAlignment="1">
      <alignment vertical="top" wrapText="1"/>
    </xf>
    <xf numFmtId="164" fontId="0" fillId="0" borderId="68" xfId="0" applyFill="1" applyBorder="1" applyAlignment="1">
      <alignment horizontal="left" vertical="top"/>
    </xf>
    <xf numFmtId="164" fontId="0" fillId="0" borderId="68" xfId="0" applyFont="1" applyFill="1" applyBorder="1" applyAlignment="1">
      <alignment horizontal="left" vertical="top"/>
    </xf>
    <xf numFmtId="164" fontId="0" fillId="0" borderId="68" xfId="0" applyFill="1" applyBorder="1" applyAlignment="1">
      <alignment horizontal="left"/>
    </xf>
    <xf numFmtId="164" fontId="0" fillId="0" borderId="50" xfId="0" applyFill="1" applyBorder="1" applyAlignment="1">
      <alignment horizontal="left"/>
    </xf>
    <xf numFmtId="164" fontId="6" fillId="0" borderId="26" xfId="0" applyFont="1" applyFill="1" applyBorder="1" applyAlignment="1">
      <alignment horizontal="center" vertical="top" wrapText="1"/>
    </xf>
    <xf numFmtId="164" fontId="0" fillId="0" borderId="11" xfId="0" applyFill="1" applyBorder="1" applyAlignment="1">
      <alignment horizontal="left" vertical="top"/>
    </xf>
    <xf numFmtId="164" fontId="5" fillId="0" borderId="4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/>
    </xf>
    <xf numFmtId="167" fontId="19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5" fillId="0" borderId="16" xfId="0" applyFont="1" applyFill="1" applyBorder="1" applyAlignment="1">
      <alignment horizontal="center" vertical="top" wrapText="1"/>
    </xf>
    <xf numFmtId="164" fontId="5" fillId="0" borderId="18" xfId="0" applyFont="1" applyFill="1" applyBorder="1" applyAlignment="1">
      <alignment horizontal="center" vertical="top" wrapText="1"/>
    </xf>
    <xf numFmtId="173" fontId="5" fillId="0" borderId="1" xfId="0" applyNumberFormat="1" applyFont="1" applyFill="1" applyBorder="1" applyAlignment="1">
      <alignment vertical="center" wrapText="1"/>
    </xf>
    <xf numFmtId="164" fontId="5" fillId="0" borderId="66" xfId="0" applyFont="1" applyFill="1" applyBorder="1" applyAlignment="1">
      <alignment horizontal="center" vertical="top"/>
    </xf>
    <xf numFmtId="173" fontId="5" fillId="0" borderId="59" xfId="0" applyNumberFormat="1" applyFont="1" applyFill="1" applyBorder="1" applyAlignment="1">
      <alignment horizontal="center" vertical="top" wrapText="1"/>
    </xf>
    <xf numFmtId="173" fontId="5" fillId="0" borderId="16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top" wrapText="1"/>
    </xf>
    <xf numFmtId="164" fontId="11" fillId="0" borderId="17" xfId="0" applyFont="1" applyFill="1" applyBorder="1" applyAlignment="1">
      <alignment horizontal="center" vertical="top" wrapText="1"/>
    </xf>
    <xf numFmtId="164" fontId="7" fillId="0" borderId="14" xfId="0" applyFont="1" applyFill="1" applyBorder="1" applyAlignment="1">
      <alignment horizontal="center" vertical="top" wrapText="1"/>
    </xf>
    <xf numFmtId="164" fontId="11" fillId="0" borderId="36" xfId="0" applyFont="1" applyFill="1" applyBorder="1" applyAlignment="1">
      <alignment horizontal="center" vertical="top" wrapText="1"/>
    </xf>
    <xf numFmtId="164" fontId="11" fillId="0" borderId="15" xfId="0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horizontal="center" vertical="top" wrapText="1"/>
    </xf>
    <xf numFmtId="164" fontId="4" fillId="0" borderId="17" xfId="0" applyFont="1" applyFill="1" applyBorder="1" applyAlignment="1">
      <alignment horizontal="center" vertical="top" wrapText="1"/>
    </xf>
    <xf numFmtId="164" fontId="7" fillId="0" borderId="69" xfId="0" applyFont="1" applyFill="1" applyBorder="1" applyAlignment="1">
      <alignment horizontal="center" vertical="top" wrapText="1"/>
    </xf>
    <xf numFmtId="164" fontId="4" fillId="0" borderId="36" xfId="0" applyFont="1" applyFill="1" applyBorder="1" applyAlignment="1">
      <alignment horizontal="center" vertical="top" wrapText="1"/>
    </xf>
    <xf numFmtId="173" fontId="22" fillId="0" borderId="11" xfId="0" applyNumberFormat="1" applyFont="1" applyFill="1" applyBorder="1" applyAlignment="1">
      <alignment horizontal="center" vertical="top" wrapText="1"/>
    </xf>
    <xf numFmtId="164" fontId="24" fillId="0" borderId="45" xfId="0" applyFont="1" applyFill="1" applyBorder="1" applyAlignment="1">
      <alignment horizontal="center" vertical="top" wrapText="1"/>
    </xf>
    <xf numFmtId="167" fontId="24" fillId="0" borderId="35" xfId="0" applyNumberFormat="1" applyFont="1" applyFill="1" applyBorder="1" applyAlignment="1">
      <alignment horizontal="center" vertical="top" wrapText="1"/>
    </xf>
    <xf numFmtId="164" fontId="25" fillId="0" borderId="36" xfId="0" applyFont="1" applyFill="1" applyBorder="1" applyAlignment="1">
      <alignment horizontal="center" vertical="top" wrapText="1"/>
    </xf>
    <xf numFmtId="164" fontId="26" fillId="0" borderId="0" xfId="0" applyFont="1" applyFill="1" applyAlignment="1">
      <alignment/>
    </xf>
    <xf numFmtId="164" fontId="24" fillId="0" borderId="13" xfId="0" applyFont="1" applyFill="1" applyBorder="1" applyAlignment="1">
      <alignment horizontal="center" vertical="top" wrapText="1"/>
    </xf>
    <xf numFmtId="167" fontId="24" fillId="0" borderId="15" xfId="0" applyNumberFormat="1" applyFont="1" applyFill="1" applyBorder="1" applyAlignment="1">
      <alignment horizontal="center" vertical="top" wrapText="1"/>
    </xf>
    <xf numFmtId="167" fontId="22" fillId="0" borderId="15" xfId="0" applyNumberFormat="1" applyFont="1" applyFill="1" applyBorder="1" applyAlignment="1">
      <alignment horizontal="center" vertical="top" wrapText="1"/>
    </xf>
    <xf numFmtId="164" fontId="25" fillId="0" borderId="15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top" wrapText="1"/>
    </xf>
    <xf numFmtId="167" fontId="24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4" fontId="25" fillId="0" borderId="1" xfId="0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top" wrapText="1"/>
    </xf>
    <xf numFmtId="164" fontId="24" fillId="0" borderId="16" xfId="0" applyFont="1" applyFill="1" applyBorder="1" applyAlignment="1">
      <alignment horizontal="center" vertical="top" wrapText="1"/>
    </xf>
    <xf numFmtId="167" fontId="24" fillId="0" borderId="17" xfId="0" applyNumberFormat="1" applyFont="1" applyFill="1" applyBorder="1" applyAlignment="1">
      <alignment horizontal="center" vertical="top" wrapText="1"/>
    </xf>
    <xf numFmtId="167" fontId="22" fillId="0" borderId="17" xfId="0" applyNumberFormat="1" applyFont="1" applyFill="1" applyBorder="1" applyAlignment="1">
      <alignment horizontal="center" vertical="top" wrapText="1"/>
    </xf>
    <xf numFmtId="164" fontId="25" fillId="0" borderId="17" xfId="0" applyFont="1" applyFill="1" applyBorder="1" applyAlignment="1">
      <alignment horizontal="center" vertical="center" wrapText="1"/>
    </xf>
    <xf numFmtId="173" fontId="22" fillId="0" borderId="70" xfId="0" applyNumberFormat="1" applyFont="1" applyFill="1" applyBorder="1" applyAlignment="1">
      <alignment horizontal="center" vertical="top" wrapText="1"/>
    </xf>
    <xf numFmtId="164" fontId="24" fillId="0" borderId="3" xfId="0" applyFont="1" applyFill="1" applyBorder="1" applyAlignment="1">
      <alignment horizontal="center" vertical="top" wrapText="1"/>
    </xf>
    <xf numFmtId="167" fontId="24" fillId="0" borderId="45" xfId="0" applyNumberFormat="1" applyFont="1" applyFill="1" applyBorder="1" applyAlignment="1">
      <alignment horizontal="center" vertical="top" wrapText="1"/>
    </xf>
    <xf numFmtId="164" fontId="25" fillId="0" borderId="36" xfId="0" applyFont="1" applyFill="1" applyBorder="1" applyAlignment="1">
      <alignment horizontal="center" vertical="center" wrapText="1"/>
    </xf>
    <xf numFmtId="173" fontId="22" fillId="0" borderId="64" xfId="0" applyNumberFormat="1" applyFont="1" applyFill="1" applyBorder="1" applyAlignment="1">
      <alignment horizontal="center" vertical="top" wrapText="1"/>
    </xf>
    <xf numFmtId="164" fontId="24" fillId="0" borderId="1" xfId="0" applyFont="1" applyFill="1" applyBorder="1" applyAlignment="1">
      <alignment vertical="top" wrapText="1"/>
    </xf>
    <xf numFmtId="167" fontId="24" fillId="0" borderId="13" xfId="0" applyNumberFormat="1" applyFont="1" applyFill="1" applyBorder="1" applyAlignment="1">
      <alignment horizontal="center" vertical="top" wrapText="1"/>
    </xf>
    <xf numFmtId="164" fontId="25" fillId="0" borderId="30" xfId="0" applyFont="1" applyFill="1" applyBorder="1" applyAlignment="1">
      <alignment horizontal="center" vertical="center" wrapText="1"/>
    </xf>
    <xf numFmtId="167" fontId="24" fillId="0" borderId="11" xfId="0" applyNumberFormat="1" applyFont="1" applyFill="1" applyBorder="1" applyAlignment="1">
      <alignment horizontal="center" vertical="top" wrapText="1"/>
    </xf>
    <xf numFmtId="171" fontId="24" fillId="0" borderId="11" xfId="0" applyNumberFormat="1" applyFont="1" applyFill="1" applyBorder="1" applyAlignment="1">
      <alignment horizontal="center" vertical="top" wrapText="1"/>
    </xf>
    <xf numFmtId="171" fontId="22" fillId="0" borderId="1" xfId="0" applyNumberFormat="1" applyFont="1" applyFill="1" applyBorder="1" applyAlignment="1">
      <alignment horizontal="center" vertical="top" wrapText="1"/>
    </xf>
    <xf numFmtId="171" fontId="26" fillId="0" borderId="0" xfId="0" applyNumberFormat="1" applyFont="1" applyFill="1" applyAlignment="1">
      <alignment/>
    </xf>
    <xf numFmtId="164" fontId="25" fillId="0" borderId="6" xfId="0" applyFont="1" applyFill="1" applyBorder="1" applyAlignment="1">
      <alignment horizontal="center" vertical="center" wrapText="1"/>
    </xf>
    <xf numFmtId="164" fontId="22" fillId="0" borderId="64" xfId="0" applyNumberFormat="1" applyFont="1" applyFill="1" applyBorder="1" applyAlignment="1">
      <alignment horizontal="center" vertical="top" wrapText="1"/>
    </xf>
    <xf numFmtId="173" fontId="22" fillId="0" borderId="71" xfId="0" applyNumberFormat="1" applyFont="1" applyFill="1" applyBorder="1" applyAlignment="1">
      <alignment horizontal="center" vertical="top" wrapText="1"/>
    </xf>
    <xf numFmtId="164" fontId="24" fillId="0" borderId="31" xfId="0" applyFont="1" applyFill="1" applyBorder="1" applyAlignment="1">
      <alignment vertical="top" wrapText="1"/>
    </xf>
    <xf numFmtId="167" fontId="24" fillId="0" borderId="46" xfId="0" applyNumberFormat="1" applyFont="1" applyFill="1" applyBorder="1" applyAlignment="1">
      <alignment horizontal="center" vertical="top" wrapText="1"/>
    </xf>
    <xf numFmtId="167" fontId="22" fillId="0" borderId="31" xfId="0" applyNumberFormat="1" applyFont="1" applyFill="1" applyBorder="1" applyAlignment="1">
      <alignment horizontal="center" vertical="top" wrapText="1"/>
    </xf>
    <xf numFmtId="164" fontId="25" fillId="0" borderId="32" xfId="0" applyFont="1" applyFill="1" applyBorder="1" applyAlignment="1">
      <alignment horizontal="center" vertical="center" wrapText="1"/>
    </xf>
    <xf numFmtId="173" fontId="22" fillId="0" borderId="44" xfId="0" applyNumberFormat="1" applyFont="1" applyFill="1" applyBorder="1" applyAlignment="1">
      <alignment horizontal="center" vertical="top" wrapText="1"/>
    </xf>
    <xf numFmtId="164" fontId="24" fillId="0" borderId="15" xfId="0" applyFont="1" applyFill="1" applyBorder="1" applyAlignment="1">
      <alignment horizontal="center" vertical="top" wrapText="1"/>
    </xf>
    <xf numFmtId="167" fontId="24" fillId="0" borderId="40" xfId="0" applyNumberFormat="1" applyFont="1" applyFill="1" applyBorder="1" applyAlignment="1">
      <alignment horizontal="center" vertical="center" wrapText="1"/>
    </xf>
    <xf numFmtId="167" fontId="24" fillId="0" borderId="27" xfId="0" applyNumberFormat="1" applyFont="1" applyFill="1" applyBorder="1" applyAlignment="1">
      <alignment horizontal="center" vertical="center" wrapText="1"/>
    </xf>
    <xf numFmtId="167" fontId="24" fillId="0" borderId="27" xfId="0" applyNumberFormat="1" applyFont="1" applyFill="1" applyBorder="1" applyAlignment="1">
      <alignment horizontal="center" vertical="top" wrapText="1"/>
    </xf>
    <xf numFmtId="164" fontId="25" fillId="0" borderId="26" xfId="0" applyFont="1" applyFill="1" applyBorder="1" applyAlignment="1">
      <alignment horizontal="center" vertical="center" wrapText="1"/>
    </xf>
    <xf numFmtId="164" fontId="25" fillId="0" borderId="59" xfId="0" applyFont="1" applyFill="1" applyBorder="1" applyAlignment="1">
      <alignment horizontal="center" vertical="top" wrapText="1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24" xfId="0" applyFont="1" applyFill="1" applyBorder="1" applyAlignment="1">
      <alignment horizontal="center" vertical="center" wrapText="1"/>
    </xf>
    <xf numFmtId="173" fontId="22" fillId="0" borderId="17" xfId="0" applyNumberFormat="1" applyFont="1" applyFill="1" applyBorder="1" applyAlignment="1">
      <alignment horizontal="center" vertical="top" wrapText="1"/>
    </xf>
    <xf numFmtId="164" fontId="24" fillId="0" borderId="17" xfId="0" applyFont="1" applyFill="1" applyBorder="1" applyAlignment="1">
      <alignment horizontal="center" vertical="top" wrapText="1"/>
    </xf>
    <xf numFmtId="164" fontId="25" fillId="0" borderId="23" xfId="0" applyFont="1" applyFill="1" applyBorder="1" applyAlignment="1">
      <alignment horizontal="center" vertical="center" wrapText="1"/>
    </xf>
    <xf numFmtId="164" fontId="5" fillId="0" borderId="33" xfId="0" applyFont="1" applyFill="1" applyBorder="1" applyAlignment="1">
      <alignment horizontal="center" vertical="top"/>
    </xf>
    <xf numFmtId="173" fontId="5" fillId="0" borderId="35" xfId="0" applyNumberFormat="1" applyFont="1" applyFill="1" applyBorder="1" applyAlignment="1">
      <alignment horizontal="center" vertical="top" wrapText="1"/>
    </xf>
    <xf numFmtId="173" fontId="22" fillId="0" borderId="3" xfId="0" applyNumberFormat="1" applyFont="1" applyFill="1" applyBorder="1" applyAlignment="1">
      <alignment horizontal="center" vertical="top" wrapText="1"/>
    </xf>
    <xf numFmtId="167" fontId="24" fillId="0" borderId="3" xfId="0" applyNumberFormat="1" applyFont="1" applyFill="1" applyBorder="1" applyAlignment="1">
      <alignment horizontal="center" vertical="center" wrapText="1"/>
    </xf>
    <xf numFmtId="167" fontId="24" fillId="0" borderId="3" xfId="0" applyNumberFormat="1" applyFont="1" applyFill="1" applyBorder="1" applyAlignment="1">
      <alignment horizontal="center" vertical="top" wrapText="1"/>
    </xf>
    <xf numFmtId="164" fontId="25" fillId="0" borderId="4" xfId="0" applyFont="1" applyFill="1" applyBorder="1" applyAlignment="1">
      <alignment horizontal="center" vertical="center" wrapText="1"/>
    </xf>
    <xf numFmtId="164" fontId="25" fillId="0" borderId="67" xfId="0" applyFont="1" applyFill="1" applyBorder="1" applyAlignment="1">
      <alignment horizontal="center" vertical="top" wrapText="1"/>
    </xf>
    <xf numFmtId="173" fontId="22" fillId="0" borderId="1" xfId="0" applyNumberFormat="1" applyFont="1" applyFill="1" applyBorder="1" applyAlignment="1">
      <alignment horizontal="center" vertical="top" wrapText="1"/>
    </xf>
    <xf numFmtId="164" fontId="24" fillId="0" borderId="1" xfId="0" applyFont="1" applyFill="1" applyBorder="1" applyAlignment="1">
      <alignment horizontal="center" vertical="top" wrapText="1"/>
    </xf>
    <xf numFmtId="173" fontId="22" fillId="0" borderId="31" xfId="0" applyNumberFormat="1" applyFont="1" applyFill="1" applyBorder="1" applyAlignment="1">
      <alignment horizontal="center" vertical="top" wrapText="1"/>
    </xf>
    <xf numFmtId="164" fontId="24" fillId="0" borderId="31" xfId="0" applyFont="1" applyFill="1" applyBorder="1" applyAlignment="1">
      <alignment horizontal="center" vertical="top" wrapText="1"/>
    </xf>
    <xf numFmtId="167" fontId="24" fillId="0" borderId="31" xfId="0" applyNumberFormat="1" applyFont="1" applyFill="1" applyBorder="1" applyAlignment="1">
      <alignment horizontal="center" vertical="top" wrapText="1"/>
    </xf>
    <xf numFmtId="164" fontId="5" fillId="0" borderId="25" xfId="0" applyFont="1" applyFill="1" applyBorder="1" applyAlignment="1">
      <alignment horizontal="center" vertical="top"/>
    </xf>
    <xf numFmtId="173" fontId="5" fillId="0" borderId="27" xfId="0" applyNumberFormat="1" applyFont="1" applyFill="1" applyBorder="1" applyAlignment="1">
      <alignment horizontal="center" vertical="top" wrapText="1"/>
    </xf>
    <xf numFmtId="173" fontId="22" fillId="0" borderId="27" xfId="0" applyNumberFormat="1" applyFont="1" applyFill="1" applyBorder="1" applyAlignment="1">
      <alignment horizontal="center" vertical="top" wrapText="1"/>
    </xf>
    <xf numFmtId="164" fontId="24" fillId="0" borderId="27" xfId="0" applyFont="1" applyFill="1" applyBorder="1" applyAlignment="1">
      <alignment horizontal="center" vertical="top" wrapText="1"/>
    </xf>
    <xf numFmtId="167" fontId="24" fillId="0" borderId="18" xfId="0" applyNumberFormat="1" applyFont="1" applyFill="1" applyBorder="1" applyAlignment="1">
      <alignment horizontal="center" vertical="top" wrapText="1"/>
    </xf>
    <xf numFmtId="167" fontId="22" fillId="0" borderId="18" xfId="0" applyNumberFormat="1" applyFont="1" applyFill="1" applyBorder="1" applyAlignment="1">
      <alignment horizontal="center" vertical="top" wrapText="1"/>
    </xf>
    <xf numFmtId="164" fontId="25" fillId="0" borderId="28" xfId="0" applyFont="1" applyFill="1" applyBorder="1" applyAlignment="1">
      <alignment horizontal="center" vertical="center" wrapText="1"/>
    </xf>
    <xf numFmtId="164" fontId="7" fillId="0" borderId="72" xfId="0" applyFont="1" applyFill="1" applyBorder="1" applyAlignment="1">
      <alignment horizontal="center" vertical="top"/>
    </xf>
    <xf numFmtId="173" fontId="5" fillId="0" borderId="39" xfId="0" applyNumberFormat="1" applyFont="1" applyFill="1" applyBorder="1" applyAlignment="1">
      <alignment horizontal="center" vertical="center" wrapText="1"/>
    </xf>
    <xf numFmtId="173" fontId="22" fillId="0" borderId="54" xfId="0" applyNumberFormat="1" applyFont="1" applyFill="1" applyBorder="1" applyAlignment="1">
      <alignment horizontal="center" vertical="center" wrapText="1"/>
    </xf>
    <xf numFmtId="164" fontId="24" fillId="0" borderId="53" xfId="0" applyFont="1" applyFill="1" applyBorder="1" applyAlignment="1">
      <alignment horizontal="center" vertical="top" wrapText="1"/>
    </xf>
    <xf numFmtId="167" fontId="24" fillId="0" borderId="33" xfId="0" applyNumberFormat="1" applyFont="1" applyFill="1" applyBorder="1" applyAlignment="1">
      <alignment horizontal="center" vertical="top" wrapText="1"/>
    </xf>
    <xf numFmtId="167" fontId="24" fillId="0" borderId="36" xfId="0" applyNumberFormat="1" applyFont="1" applyFill="1" applyBorder="1" applyAlignment="1">
      <alignment horizontal="center" vertical="top" wrapText="1"/>
    </xf>
    <xf numFmtId="164" fontId="27" fillId="0" borderId="38" xfId="0" applyFont="1" applyFill="1" applyBorder="1" applyAlignment="1">
      <alignment horizontal="center" vertical="center" wrapText="1"/>
    </xf>
    <xf numFmtId="164" fontId="8" fillId="0" borderId="60" xfId="0" applyFont="1" applyFill="1" applyBorder="1" applyAlignment="1">
      <alignment horizontal="center" vertical="top" wrapText="1"/>
    </xf>
    <xf numFmtId="164" fontId="28" fillId="0" borderId="0" xfId="0" applyFont="1" applyFill="1" applyAlignment="1">
      <alignment/>
    </xf>
    <xf numFmtId="173" fontId="22" fillId="0" borderId="29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top" wrapText="1"/>
    </xf>
    <xf numFmtId="164" fontId="22" fillId="0" borderId="16" xfId="0" applyFont="1" applyFill="1" applyBorder="1" applyAlignment="1">
      <alignment horizontal="center" vertical="top" wrapText="1"/>
    </xf>
    <xf numFmtId="164" fontId="27" fillId="0" borderId="50" xfId="0" applyFont="1" applyFill="1" applyBorder="1" applyAlignment="1">
      <alignment horizontal="center" vertical="center" wrapText="1"/>
    </xf>
    <xf numFmtId="164" fontId="22" fillId="0" borderId="6" xfId="0" applyFont="1" applyFill="1" applyBorder="1" applyAlignment="1">
      <alignment horizontal="center" vertical="top" wrapText="1"/>
    </xf>
    <xf numFmtId="164" fontId="22" fillId="0" borderId="23" xfId="0" applyFont="1" applyFill="1" applyBorder="1" applyAlignment="1">
      <alignment horizontal="center" vertical="top" wrapText="1"/>
    </xf>
    <xf numFmtId="164" fontId="24" fillId="0" borderId="36" xfId="0" applyFont="1" applyFill="1" applyBorder="1" applyAlignment="1">
      <alignment horizontal="center" vertical="top" wrapText="1"/>
    </xf>
    <xf numFmtId="173" fontId="22" fillId="0" borderId="59" xfId="0" applyNumberFormat="1" applyFont="1" applyFill="1" applyBorder="1" applyAlignment="1">
      <alignment horizontal="center" vertical="center" wrapText="1"/>
    </xf>
    <xf numFmtId="164" fontId="22" fillId="0" borderId="19" xfId="0" applyFont="1" applyFill="1" applyBorder="1" applyAlignment="1">
      <alignment horizontal="center" vertical="top" wrapText="1"/>
    </xf>
    <xf numFmtId="164" fontId="22" fillId="0" borderId="20" xfId="0" applyFont="1" applyFill="1" applyBorder="1" applyAlignment="1">
      <alignment horizontal="center" vertical="top" wrapText="1"/>
    </xf>
    <xf numFmtId="164" fontId="5" fillId="0" borderId="19" xfId="0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 vertical="top" wrapText="1"/>
    </xf>
    <xf numFmtId="173" fontId="22" fillId="0" borderId="63" xfId="0" applyNumberFormat="1" applyFont="1" applyFill="1" applyBorder="1" applyAlignment="1">
      <alignment horizontal="center" vertical="center" wrapText="1"/>
    </xf>
    <xf numFmtId="164" fontId="24" fillId="0" borderId="59" xfId="0" applyFont="1" applyFill="1" applyBorder="1" applyAlignment="1">
      <alignment horizontal="center" vertical="top" wrapText="1"/>
    </xf>
    <xf numFmtId="167" fontId="24" fillId="0" borderId="10" xfId="0" applyNumberFormat="1" applyFont="1" applyFill="1" applyBorder="1" applyAlignment="1">
      <alignment horizontal="center" vertical="top" wrapText="1"/>
    </xf>
    <xf numFmtId="167" fontId="24" fillId="0" borderId="41" xfId="0" applyNumberFormat="1" applyFont="1" applyFill="1" applyBorder="1" applyAlignment="1">
      <alignment horizontal="center" vertical="top" wrapText="1"/>
    </xf>
    <xf numFmtId="164" fontId="24" fillId="0" borderId="73" xfId="0" applyFont="1" applyFill="1" applyBorder="1" applyAlignment="1">
      <alignment horizontal="center" vertical="top" wrapText="1"/>
    </xf>
    <xf numFmtId="173" fontId="22" fillId="0" borderId="74" xfId="0" applyNumberFormat="1" applyFont="1" applyFill="1" applyBorder="1" applyAlignment="1">
      <alignment horizontal="center" vertical="center" wrapText="1"/>
    </xf>
    <xf numFmtId="164" fontId="22" fillId="0" borderId="59" xfId="0" applyFont="1" applyFill="1" applyBorder="1" applyAlignment="1">
      <alignment horizontal="center" vertical="top" wrapText="1"/>
    </xf>
    <xf numFmtId="167" fontId="22" fillId="0" borderId="10" xfId="0" applyNumberFormat="1" applyFont="1" applyFill="1" applyBorder="1" applyAlignment="1">
      <alignment horizontal="center" vertical="top" wrapText="1"/>
    </xf>
    <xf numFmtId="167" fontId="22" fillId="0" borderId="41" xfId="0" applyNumberFormat="1" applyFont="1" applyFill="1" applyBorder="1" applyAlignment="1">
      <alignment horizontal="center" vertical="top" wrapText="1"/>
    </xf>
    <xf numFmtId="164" fontId="22" fillId="0" borderId="73" xfId="0" applyFont="1" applyFill="1" applyBorder="1" applyAlignment="1">
      <alignment horizontal="center" vertical="top" wrapText="1"/>
    </xf>
    <xf numFmtId="173" fontId="5" fillId="0" borderId="74" xfId="0" applyNumberFormat="1" applyFont="1" applyFill="1" applyBorder="1" applyAlignment="1">
      <alignment horizontal="center" vertical="center" wrapText="1"/>
    </xf>
    <xf numFmtId="164" fontId="5" fillId="0" borderId="65" xfId="0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164" fontId="5" fillId="0" borderId="23" xfId="0" applyFont="1" applyFill="1" applyBorder="1" applyAlignment="1">
      <alignment horizontal="center" vertical="top" wrapText="1"/>
    </xf>
    <xf numFmtId="164" fontId="7" fillId="0" borderId="29" xfId="0" applyFont="1" applyFill="1" applyBorder="1" applyAlignment="1">
      <alignment horizontal="center" vertical="top"/>
    </xf>
    <xf numFmtId="164" fontId="7" fillId="0" borderId="75" xfId="0" applyFont="1" applyFill="1" applyBorder="1" applyAlignment="1">
      <alignment horizontal="center" vertical="top"/>
    </xf>
    <xf numFmtId="164" fontId="7" fillId="0" borderId="10" xfId="0" applyFont="1" applyFill="1" applyBorder="1" applyAlignment="1">
      <alignment horizontal="center" vertical="top" wrapText="1"/>
    </xf>
    <xf numFmtId="164" fontId="4" fillId="0" borderId="38" xfId="0" applyFont="1" applyFill="1" applyBorder="1" applyAlignment="1">
      <alignment horizontal="center" vertical="top" wrapText="1"/>
    </xf>
    <xf numFmtId="164" fontId="7" fillId="0" borderId="61" xfId="0" applyFont="1" applyFill="1" applyBorder="1" applyAlignment="1">
      <alignment horizontal="center" vertical="top"/>
    </xf>
    <xf numFmtId="164" fontId="7" fillId="0" borderId="2" xfId="0" applyFont="1" applyFill="1" applyBorder="1" applyAlignment="1">
      <alignment horizontal="center" vertical="top" wrapText="1"/>
    </xf>
    <xf numFmtId="167" fontId="7" fillId="0" borderId="3" xfId="0" applyNumberFormat="1" applyFont="1" applyFill="1" applyBorder="1" applyAlignment="1">
      <alignment horizontal="center" vertical="top" wrapText="1"/>
    </xf>
    <xf numFmtId="167" fontId="7" fillId="0" borderId="4" xfId="0" applyNumberFormat="1" applyFont="1" applyFill="1" applyBorder="1" applyAlignment="1">
      <alignment horizontal="center" vertical="top" wrapText="1"/>
    </xf>
    <xf numFmtId="164" fontId="7" fillId="0" borderId="5" xfId="0" applyFont="1" applyFill="1" applyBorder="1" applyAlignment="1">
      <alignment horizontal="center" vertical="top" wrapText="1"/>
    </xf>
    <xf numFmtId="167" fontId="7" fillId="0" borderId="6" xfId="0" applyNumberFormat="1" applyFont="1" applyFill="1" applyBorder="1" applyAlignment="1">
      <alignment horizontal="center" vertical="top" wrapText="1"/>
    </xf>
    <xf numFmtId="167" fontId="7" fillId="0" borderId="23" xfId="0" applyNumberFormat="1" applyFont="1" applyFill="1" applyBorder="1" applyAlignment="1">
      <alignment horizontal="center" vertical="top" wrapText="1"/>
    </xf>
    <xf numFmtId="164" fontId="7" fillId="0" borderId="52" xfId="0" applyFont="1" applyFill="1" applyBorder="1" applyAlignment="1">
      <alignment horizontal="center" vertical="top" wrapText="1"/>
    </xf>
    <xf numFmtId="167" fontId="7" fillId="0" borderId="32" xfId="0" applyNumberFormat="1" applyFont="1" applyFill="1" applyBorder="1" applyAlignment="1">
      <alignment horizontal="center" vertical="top" wrapText="1"/>
    </xf>
    <xf numFmtId="164" fontId="7" fillId="0" borderId="12" xfId="0" applyFont="1" applyFill="1" applyBorder="1" applyAlignment="1">
      <alignment horizontal="left" vertical="center"/>
    </xf>
    <xf numFmtId="164" fontId="7" fillId="0" borderId="42" xfId="0" applyFont="1" applyFill="1" applyBorder="1" applyAlignment="1">
      <alignment horizontal="center" vertical="center"/>
    </xf>
    <xf numFmtId="164" fontId="0" fillId="0" borderId="49" xfId="0" applyFill="1" applyBorder="1" applyAlignment="1">
      <alignment horizontal="center"/>
    </xf>
    <xf numFmtId="164" fontId="0" fillId="0" borderId="68" xfId="0" applyFill="1" applyBorder="1" applyAlignment="1">
      <alignment/>
    </xf>
    <xf numFmtId="164" fontId="0" fillId="0" borderId="11" xfId="0" applyFill="1" applyBorder="1" applyAlignment="1">
      <alignment/>
    </xf>
    <xf numFmtId="164" fontId="7" fillId="0" borderId="66" xfId="0" applyFont="1" applyFill="1" applyBorder="1" applyAlignment="1">
      <alignment horizontal="left" vertical="center"/>
    </xf>
    <xf numFmtId="164" fontId="7" fillId="0" borderId="39" xfId="0" applyFont="1" applyFill="1" applyBorder="1" applyAlignment="1">
      <alignment horizontal="center" vertical="center"/>
    </xf>
    <xf numFmtId="164" fontId="15" fillId="0" borderId="69" xfId="0" applyFont="1" applyFill="1" applyBorder="1" applyAlignment="1">
      <alignment/>
    </xf>
    <xf numFmtId="164" fontId="15" fillId="0" borderId="50" xfId="0" applyFont="1" applyFill="1" applyBorder="1" applyAlignment="1">
      <alignment/>
    </xf>
    <xf numFmtId="164" fontId="5" fillId="0" borderId="74" xfId="0" applyFont="1" applyFill="1" applyBorder="1" applyAlignment="1">
      <alignment horizontal="center" vertical="top"/>
    </xf>
    <xf numFmtId="164" fontId="4" fillId="0" borderId="59" xfId="0" applyFont="1" applyFill="1" applyBorder="1" applyAlignment="1">
      <alignment horizontal="center" vertical="top" wrapText="1"/>
    </xf>
    <xf numFmtId="164" fontId="4" fillId="0" borderId="75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top" wrapText="1"/>
    </xf>
    <xf numFmtId="164" fontId="4" fillId="0" borderId="7" xfId="0" applyFont="1" applyFill="1" applyBorder="1" applyAlignment="1">
      <alignment horizontal="center" vertical="top" wrapText="1"/>
    </xf>
    <xf numFmtId="164" fontId="4" fillId="0" borderId="67" xfId="0" applyFont="1" applyFill="1" applyBorder="1" applyAlignment="1">
      <alignment horizontal="center" vertical="top" wrapText="1"/>
    </xf>
    <xf numFmtId="164" fontId="7" fillId="0" borderId="66" xfId="0" applyFont="1" applyFill="1" applyBorder="1" applyAlignment="1">
      <alignment horizontal="center" vertical="center" wrapText="1"/>
    </xf>
    <xf numFmtId="164" fontId="7" fillId="0" borderId="51" xfId="0" applyFont="1" applyFill="1" applyBorder="1" applyAlignment="1">
      <alignment horizontal="center" vertical="center" wrapText="1"/>
    </xf>
    <xf numFmtId="164" fontId="7" fillId="0" borderId="63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4" fontId="0" fillId="0" borderId="67" xfId="0" applyFill="1" applyBorder="1" applyAlignment="1">
      <alignment/>
    </xf>
    <xf numFmtId="173" fontId="7" fillId="0" borderId="76" xfId="0" applyNumberFormat="1" applyFont="1" applyFill="1" applyBorder="1" applyAlignment="1">
      <alignment horizontal="left" vertical="center" wrapText="1"/>
    </xf>
    <xf numFmtId="164" fontId="0" fillId="0" borderId="44" xfId="0" applyFill="1" applyBorder="1" applyAlignment="1">
      <alignment/>
    </xf>
    <xf numFmtId="164" fontId="5" fillId="0" borderId="52" xfId="0" applyFont="1" applyFill="1" applyBorder="1" applyAlignment="1">
      <alignment horizontal="center" vertical="top"/>
    </xf>
    <xf numFmtId="173" fontId="4" fillId="0" borderId="1" xfId="0" applyNumberFormat="1" applyFont="1" applyFill="1" applyBorder="1" applyAlignment="1">
      <alignment horizontal="center" vertical="top" wrapText="1"/>
    </xf>
    <xf numFmtId="173" fontId="4" fillId="0" borderId="24" xfId="0" applyNumberFormat="1" applyFont="1" applyFill="1" applyBorder="1" applyAlignment="1">
      <alignment vertical="top" wrapText="1"/>
    </xf>
    <xf numFmtId="167" fontId="5" fillId="0" borderId="13" xfId="0" applyNumberFormat="1" applyFont="1" applyFill="1" applyBorder="1" applyAlignment="1">
      <alignment horizontal="center" vertical="top" wrapText="1"/>
    </xf>
    <xf numFmtId="164" fontId="4" fillId="0" borderId="42" xfId="0" applyFont="1" applyFill="1" applyBorder="1" applyAlignment="1">
      <alignment horizontal="center" vertical="top" wrapText="1"/>
    </xf>
    <xf numFmtId="164" fontId="4" fillId="0" borderId="29" xfId="0" applyFont="1" applyFill="1" applyBorder="1" applyAlignment="1">
      <alignment horizontal="center" vertical="top" wrapText="1"/>
    </xf>
    <xf numFmtId="173" fontId="4" fillId="0" borderId="39" xfId="0" applyNumberFormat="1" applyFont="1" applyFill="1" applyBorder="1" applyAlignment="1">
      <alignment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7" fontId="5" fillId="0" borderId="68" xfId="0" applyNumberFormat="1" applyFont="1" applyFill="1" applyBorder="1" applyAlignment="1">
      <alignment horizontal="center" vertical="top" wrapText="1"/>
    </xf>
    <xf numFmtId="167" fontId="5" fillId="0" borderId="27" xfId="0" applyNumberFormat="1" applyFont="1" applyFill="1" applyBorder="1" applyAlignment="1">
      <alignment horizontal="center" vertical="top" wrapText="1"/>
    </xf>
    <xf numFmtId="164" fontId="4" fillId="0" borderId="28" xfId="0" applyFont="1" applyFill="1" applyBorder="1" applyAlignment="1">
      <alignment horizontal="center" vertical="top" wrapText="1"/>
    </xf>
    <xf numFmtId="164" fontId="4" fillId="0" borderId="65" xfId="0" applyFont="1" applyFill="1" applyBorder="1" applyAlignment="1">
      <alignment horizontal="center" vertical="top" wrapText="1"/>
    </xf>
    <xf numFmtId="164" fontId="5" fillId="0" borderId="47" xfId="0" applyFont="1" applyFill="1" applyBorder="1" applyAlignment="1">
      <alignment horizontal="center" vertical="top"/>
    </xf>
    <xf numFmtId="164" fontId="4" fillId="0" borderId="19" xfId="0" applyFont="1" applyFill="1" applyBorder="1" applyAlignment="1">
      <alignment horizontal="center" vertical="top" wrapText="1"/>
    </xf>
    <xf numFmtId="167" fontId="5" fillId="0" borderId="3" xfId="0" applyNumberFormat="1" applyFont="1" applyFill="1" applyBorder="1" applyAlignment="1">
      <alignment horizontal="center" vertical="top" wrapText="1"/>
    </xf>
    <xf numFmtId="164" fontId="4" fillId="0" borderId="57" xfId="0" applyFont="1" applyFill="1" applyBorder="1" applyAlignment="1">
      <alignment horizontal="center" vertical="top" wrapText="1"/>
    </xf>
    <xf numFmtId="164" fontId="4" fillId="0" borderId="43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7" fillId="0" borderId="18" xfId="0" applyFont="1" applyFill="1" applyBorder="1" applyAlignment="1">
      <alignment horizontal="center" vertical="top" wrapText="1"/>
    </xf>
    <xf numFmtId="167" fontId="5" fillId="0" borderId="18" xfId="0" applyNumberFormat="1" applyFont="1" applyFill="1" applyBorder="1" applyAlignment="1">
      <alignment horizontal="center" vertical="top" wrapText="1"/>
    </xf>
    <xf numFmtId="164" fontId="5" fillId="0" borderId="17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vertical="top" wrapText="1"/>
    </xf>
    <xf numFmtId="164" fontId="4" fillId="0" borderId="54" xfId="0" applyFont="1" applyFill="1" applyBorder="1" applyAlignment="1">
      <alignment horizontal="center" vertical="top" wrapText="1"/>
    </xf>
    <xf numFmtId="164" fontId="5" fillId="0" borderId="29" xfId="0" applyFont="1" applyFill="1" applyBorder="1" applyAlignment="1">
      <alignment horizontal="center" vertical="top"/>
    </xf>
    <xf numFmtId="164" fontId="6" fillId="0" borderId="61" xfId="0" applyFont="1" applyFill="1" applyBorder="1" applyAlignment="1">
      <alignment horizontal="center" vertical="top"/>
    </xf>
    <xf numFmtId="164" fontId="6" fillId="0" borderId="59" xfId="0" applyFont="1" applyFill="1" applyBorder="1" applyAlignment="1">
      <alignment horizontal="center" vertical="top"/>
    </xf>
    <xf numFmtId="167" fontId="7" fillId="0" borderId="57" xfId="0" applyNumberFormat="1" applyFont="1" applyFill="1" applyBorder="1" applyAlignment="1">
      <alignment horizontal="center" vertical="top" wrapText="1"/>
    </xf>
    <xf numFmtId="164" fontId="6" fillId="0" borderId="65" xfId="0" applyFont="1" applyFill="1" applyBorder="1" applyAlignment="1">
      <alignment horizontal="center" vertical="top"/>
    </xf>
    <xf numFmtId="167" fontId="7" fillId="0" borderId="14" xfId="0" applyNumberFormat="1" applyFont="1" applyFill="1" applyBorder="1" applyAlignment="1">
      <alignment horizontal="center" vertical="top" wrapText="1"/>
    </xf>
    <xf numFmtId="164" fontId="6" fillId="0" borderId="65" xfId="0" applyFont="1" applyFill="1" applyBorder="1" applyAlignment="1">
      <alignment vertical="top"/>
    </xf>
    <xf numFmtId="167" fontId="7" fillId="0" borderId="56" xfId="0" applyNumberFormat="1" applyFont="1" applyFill="1" applyBorder="1" applyAlignment="1">
      <alignment horizontal="center" vertical="top" wrapText="1"/>
    </xf>
    <xf numFmtId="164" fontId="6" fillId="0" borderId="54" xfId="0" applyFont="1" applyFill="1" applyBorder="1" applyAlignment="1">
      <alignment vertical="top"/>
    </xf>
    <xf numFmtId="164" fontId="7" fillId="0" borderId="12" xfId="0" applyFont="1" applyFill="1" applyBorder="1" applyAlignment="1">
      <alignment horizontal="center" vertical="center"/>
    </xf>
    <xf numFmtId="164" fontId="7" fillId="0" borderId="30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left" vertical="center"/>
    </xf>
    <xf numFmtId="164" fontId="5" fillId="0" borderId="42" xfId="0" applyFont="1" applyFill="1" applyBorder="1" applyAlignment="1">
      <alignment horizontal="left" vertical="center"/>
    </xf>
    <xf numFmtId="164" fontId="5" fillId="0" borderId="30" xfId="0" applyFont="1" applyFill="1" applyBorder="1" applyAlignment="1">
      <alignment horizontal="left" vertical="center"/>
    </xf>
    <xf numFmtId="164" fontId="5" fillId="0" borderId="76" xfId="0" applyFont="1" applyFill="1" applyBorder="1" applyAlignment="1">
      <alignment horizontal="left" vertical="center"/>
    </xf>
    <xf numFmtId="164" fontId="5" fillId="0" borderId="39" xfId="0" applyFont="1" applyFill="1" applyBorder="1" applyAlignment="1">
      <alignment horizontal="left" vertical="center"/>
    </xf>
    <xf numFmtId="164" fontId="5" fillId="0" borderId="63" xfId="0" applyFont="1" applyFill="1" applyBorder="1" applyAlignment="1">
      <alignment horizontal="center" vertical="center"/>
    </xf>
    <xf numFmtId="164" fontId="0" fillId="0" borderId="60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7" fillId="0" borderId="69" xfId="0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horizontal="center" vertical="center"/>
    </xf>
    <xf numFmtId="164" fontId="6" fillId="0" borderId="69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/>
    </xf>
    <xf numFmtId="164" fontId="8" fillId="0" borderId="59" xfId="0" applyFont="1" applyFill="1" applyBorder="1" applyAlignment="1">
      <alignment horizontal="center" vertical="center" wrapText="1"/>
    </xf>
    <xf numFmtId="164" fontId="6" fillId="0" borderId="17" xfId="0" applyFont="1" applyFill="1" applyBorder="1" applyAlignment="1">
      <alignment horizontal="center" vertical="top"/>
    </xf>
    <xf numFmtId="164" fontId="8" fillId="0" borderId="65" xfId="0" applyFont="1" applyFill="1" applyBorder="1" applyAlignment="1">
      <alignment horizontal="center" vertical="center" wrapText="1"/>
    </xf>
    <xf numFmtId="164" fontId="4" fillId="0" borderId="65" xfId="0" applyFont="1" applyFill="1" applyBorder="1" applyAlignment="1">
      <alignment horizontal="center" vertical="center" wrapText="1"/>
    </xf>
    <xf numFmtId="164" fontId="3" fillId="0" borderId="29" xfId="0" applyFont="1" applyFill="1" applyBorder="1" applyAlignment="1">
      <alignment horizontal="center"/>
    </xf>
    <xf numFmtId="164" fontId="6" fillId="0" borderId="3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top" wrapText="1"/>
    </xf>
    <xf numFmtId="164" fontId="8" fillId="0" borderId="3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/>
    </xf>
    <xf numFmtId="164" fontId="6" fillId="0" borderId="31" xfId="0" applyFont="1" applyFill="1" applyBorder="1" applyAlignment="1">
      <alignment horizontal="center" vertical="top" wrapText="1"/>
    </xf>
    <xf numFmtId="164" fontId="8" fillId="0" borderId="31" xfId="0" applyFont="1" applyFill="1" applyBorder="1" applyAlignment="1">
      <alignment horizontal="center" vertical="center"/>
    </xf>
    <xf numFmtId="167" fontId="8" fillId="0" borderId="31" xfId="0" applyNumberFormat="1" applyFont="1" applyFill="1" applyBorder="1" applyAlignment="1">
      <alignment horizontal="center" vertical="center" wrapText="1"/>
    </xf>
    <xf numFmtId="164" fontId="4" fillId="0" borderId="32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vertical="top" wrapText="1"/>
    </xf>
    <xf numFmtId="178" fontId="19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 horizontal="center" vertical="top" wrapText="1"/>
    </xf>
    <xf numFmtId="178" fontId="6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67" fontId="19" fillId="0" borderId="1" xfId="0" applyNumberFormat="1" applyFont="1" applyFill="1" applyBorder="1" applyAlignment="1">
      <alignment/>
    </xf>
    <xf numFmtId="164" fontId="19" fillId="0" borderId="1" xfId="0" applyFont="1" applyFill="1" applyBorder="1" applyAlignment="1">
      <alignment/>
    </xf>
    <xf numFmtId="164" fontId="16" fillId="0" borderId="0" xfId="0" applyFont="1" applyFill="1" applyAlignment="1">
      <alignment horizontal="center" vertical="top"/>
    </xf>
    <xf numFmtId="164" fontId="4" fillId="0" borderId="0" xfId="0" applyFont="1" applyFill="1" applyBorder="1" applyAlignment="1">
      <alignment horizontal="right" vertical="top"/>
    </xf>
    <xf numFmtId="164" fontId="30" fillId="0" borderId="0" xfId="0" applyFont="1" applyFill="1" applyAlignment="1">
      <alignment horizontal="right"/>
    </xf>
    <xf numFmtId="164" fontId="4" fillId="0" borderId="0" xfId="0" applyFont="1" applyFill="1" applyAlignment="1">
      <alignment horizontal="right" vertical="top"/>
    </xf>
    <xf numFmtId="164" fontId="31" fillId="0" borderId="0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top"/>
    </xf>
    <xf numFmtId="164" fontId="11" fillId="0" borderId="3" xfId="0" applyFont="1" applyFill="1" applyBorder="1" applyAlignment="1">
      <alignment horizontal="center" vertical="top" wrapText="1"/>
    </xf>
    <xf numFmtId="164" fontId="11" fillId="0" borderId="4" xfId="0" applyFont="1" applyFill="1" applyBorder="1" applyAlignment="1">
      <alignment horizontal="center" vertical="top" wrapText="1"/>
    </xf>
    <xf numFmtId="164" fontId="16" fillId="0" borderId="5" xfId="0" applyFont="1" applyFill="1" applyBorder="1" applyAlignment="1">
      <alignment horizontal="center" vertical="top"/>
    </xf>
    <xf numFmtId="164" fontId="32" fillId="0" borderId="6" xfId="0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left" vertical="top" wrapText="1"/>
    </xf>
    <xf numFmtId="164" fontId="4" fillId="0" borderId="6" xfId="0" applyFont="1" applyFill="1" applyBorder="1" applyAlignment="1">
      <alignment horizontal="justify" vertical="top" wrapText="1"/>
    </xf>
    <xf numFmtId="164" fontId="8" fillId="0" borderId="1" xfId="0" applyFont="1" applyFill="1" applyBorder="1" applyAlignment="1">
      <alignment vertical="top" wrapText="1"/>
    </xf>
    <xf numFmtId="164" fontId="4" fillId="0" borderId="6" xfId="0" applyFont="1" applyFill="1" applyBorder="1" applyAlignment="1">
      <alignment vertical="top" wrapText="1"/>
    </xf>
    <xf numFmtId="169" fontId="12" fillId="0" borderId="1" xfId="0" applyNumberFormat="1" applyFont="1" applyFill="1" applyBorder="1" applyAlignment="1">
      <alignment horizontal="center" vertical="top" wrapText="1"/>
    </xf>
    <xf numFmtId="164" fontId="11" fillId="0" borderId="6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center" vertical="top" wrapText="1"/>
    </xf>
    <xf numFmtId="169" fontId="8" fillId="0" borderId="1" xfId="0" applyNumberFormat="1" applyFont="1" applyFill="1" applyBorder="1" applyAlignment="1">
      <alignment horizontal="center" vertical="top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top" wrapText="1"/>
    </xf>
    <xf numFmtId="180" fontId="4" fillId="0" borderId="1" xfId="0" applyNumberFormat="1" applyFont="1" applyFill="1" applyBorder="1" applyAlignment="1">
      <alignment horizontal="center" vertical="top" wrapText="1"/>
    </xf>
    <xf numFmtId="181" fontId="11" fillId="0" borderId="1" xfId="0" applyNumberFormat="1" applyFont="1" applyFill="1" applyBorder="1" applyAlignment="1">
      <alignment horizontal="center" vertical="top" wrapText="1"/>
    </xf>
    <xf numFmtId="181" fontId="23" fillId="0" borderId="1" xfId="0" applyNumberFormat="1" applyFont="1" applyFill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" vertical="top" wrapText="1"/>
    </xf>
    <xf numFmtId="180" fontId="11" fillId="0" borderId="1" xfId="0" applyNumberFormat="1" applyFont="1" applyFill="1" applyBorder="1" applyAlignment="1">
      <alignment vertical="top" wrapText="1"/>
    </xf>
    <xf numFmtId="164" fontId="11" fillId="0" borderId="17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top" wrapText="1"/>
    </xf>
    <xf numFmtId="170" fontId="8" fillId="0" borderId="1" xfId="0" applyNumberFormat="1" applyFont="1" applyFill="1" applyBorder="1" applyAlignment="1">
      <alignment horizontal="center" vertical="top" wrapText="1"/>
    </xf>
    <xf numFmtId="178" fontId="12" fillId="0" borderId="1" xfId="0" applyNumberFormat="1" applyFont="1" applyFill="1" applyBorder="1" applyAlignment="1">
      <alignment horizontal="center" vertical="top" wrapText="1"/>
    </xf>
    <xf numFmtId="178" fontId="12" fillId="0" borderId="1" xfId="0" applyNumberFormat="1" applyFont="1" applyFill="1" applyBorder="1" applyAlignment="1">
      <alignment vertical="top" wrapText="1"/>
    </xf>
    <xf numFmtId="181" fontId="12" fillId="0" borderId="1" xfId="0" applyNumberFormat="1" applyFont="1" applyFill="1" applyBorder="1" applyAlignment="1">
      <alignment horizontal="center" vertical="top" wrapText="1"/>
    </xf>
    <xf numFmtId="170" fontId="12" fillId="0" borderId="1" xfId="0" applyNumberFormat="1" applyFont="1" applyFill="1" applyBorder="1" applyAlignment="1">
      <alignment horizontal="center" vertical="top" wrapText="1"/>
    </xf>
    <xf numFmtId="178" fontId="4" fillId="0" borderId="1" xfId="0" applyNumberFormat="1" applyFont="1" applyFill="1" applyBorder="1" applyAlignment="1">
      <alignment horizontal="center" vertical="top" wrapText="1"/>
    </xf>
    <xf numFmtId="178" fontId="11" fillId="0" borderId="1" xfId="0" applyNumberFormat="1" applyFont="1" applyFill="1" applyBorder="1" applyAlignment="1">
      <alignment horizontal="center" vertical="top" wrapText="1"/>
    </xf>
    <xf numFmtId="178" fontId="11" fillId="0" borderId="1" xfId="0" applyNumberFormat="1" applyFont="1" applyFill="1" applyBorder="1" applyAlignment="1">
      <alignment vertical="top" wrapText="1"/>
    </xf>
    <xf numFmtId="170" fontId="11" fillId="0" borderId="1" xfId="0" applyNumberFormat="1" applyFont="1" applyFill="1" applyBorder="1" applyAlignment="1">
      <alignment horizontal="center" vertical="top" wrapText="1"/>
    </xf>
    <xf numFmtId="182" fontId="12" fillId="0" borderId="1" xfId="0" applyNumberFormat="1" applyFont="1" applyFill="1" applyBorder="1" applyAlignment="1">
      <alignment horizontal="center" vertical="top" wrapText="1"/>
    </xf>
    <xf numFmtId="181" fontId="11" fillId="0" borderId="1" xfId="0" applyNumberFormat="1" applyFont="1" applyFill="1" applyBorder="1" applyAlignment="1">
      <alignment vertical="top" wrapText="1"/>
    </xf>
    <xf numFmtId="164" fontId="11" fillId="0" borderId="6" xfId="0" applyFont="1" applyFill="1" applyBorder="1" applyAlignment="1">
      <alignment vertical="top" wrapText="1"/>
    </xf>
    <xf numFmtId="181" fontId="0" fillId="0" borderId="0" xfId="0" applyNumberFormat="1" applyFill="1" applyAlignment="1">
      <alignment/>
    </xf>
    <xf numFmtId="167" fontId="12" fillId="0" borderId="1" xfId="0" applyNumberFormat="1" applyFont="1" applyFill="1" applyBorder="1" applyAlignment="1">
      <alignment horizontal="center" vertical="top" wrapText="1"/>
    </xf>
    <xf numFmtId="164" fontId="32" fillId="0" borderId="6" xfId="0" applyFont="1" applyFill="1" applyBorder="1" applyAlignment="1">
      <alignment horizontal="left" vertical="top" wrapText="1"/>
    </xf>
    <xf numFmtId="164" fontId="33" fillId="0" borderId="6" xfId="0" applyFont="1" applyFill="1" applyBorder="1" applyAlignment="1">
      <alignment horizontal="left" vertical="top" wrapText="1"/>
    </xf>
    <xf numFmtId="164" fontId="33" fillId="0" borderId="1" xfId="0" applyFont="1" applyFill="1" applyBorder="1" applyAlignment="1">
      <alignment vertical="top" wrapText="1"/>
    </xf>
    <xf numFmtId="164" fontId="33" fillId="0" borderId="6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81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top" wrapText="1"/>
    </xf>
    <xf numFmtId="164" fontId="4" fillId="0" borderId="15" xfId="0" applyFont="1" applyFill="1" applyBorder="1" applyAlignment="1">
      <alignment horizontal="center" vertical="top" wrapText="1"/>
    </xf>
    <xf numFmtId="164" fontId="16" fillId="0" borderId="5" xfId="0" applyFont="1" applyFill="1" applyBorder="1" applyAlignment="1">
      <alignment horizontal="center" vertical="center"/>
    </xf>
    <xf numFmtId="164" fontId="34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64" fontId="16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7" fontId="9" fillId="0" borderId="1" xfId="15" applyNumberFormat="1" applyFont="1" applyFill="1" applyBorder="1" applyAlignment="1" applyProtection="1">
      <alignment horizontal="center" vertical="center" wrapText="1"/>
      <protection/>
    </xf>
    <xf numFmtId="167" fontId="9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/>
    </xf>
    <xf numFmtId="164" fontId="9" fillId="0" borderId="27" xfId="0" applyFont="1" applyFill="1" applyBorder="1" applyAlignment="1">
      <alignment horizontal="center" vertical="center" wrapText="1"/>
    </xf>
    <xf numFmtId="167" fontId="9" fillId="0" borderId="27" xfId="15" applyNumberFormat="1" applyFont="1" applyFill="1" applyBorder="1" applyAlignment="1" applyProtection="1">
      <alignment horizontal="center" vertical="center" wrapText="1"/>
      <protection/>
    </xf>
    <xf numFmtId="167" fontId="9" fillId="0" borderId="27" xfId="0" applyNumberFormat="1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77" fontId="12" fillId="0" borderId="0" xfId="15" applyNumberFormat="1" applyFont="1" applyFill="1" applyBorder="1" applyAlignment="1" applyProtection="1">
      <alignment horizontal="center" vertical="center" wrapText="1"/>
      <protection/>
    </xf>
    <xf numFmtId="169" fontId="12" fillId="0" borderId="0" xfId="0" applyNumberFormat="1" applyFont="1" applyFill="1" applyBorder="1" applyAlignment="1">
      <alignment horizontal="center" vertical="center" wrapText="1"/>
    </xf>
    <xf numFmtId="176" fontId="34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right"/>
    </xf>
    <xf numFmtId="169" fontId="7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64" fontId="16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37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 horizontal="right"/>
    </xf>
    <xf numFmtId="164" fontId="37" fillId="0" borderId="0" xfId="0" applyFont="1" applyFill="1" applyAlignment="1">
      <alignment horizontal="right"/>
    </xf>
    <xf numFmtId="164" fontId="12" fillId="0" borderId="0" xfId="0" applyFont="1" applyFill="1" applyAlignment="1">
      <alignment horizontal="center"/>
    </xf>
    <xf numFmtId="164" fontId="34" fillId="0" borderId="0" xfId="0" applyFont="1" applyFill="1" applyAlignment="1">
      <alignment/>
    </xf>
    <xf numFmtId="164" fontId="34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9" fillId="0" borderId="2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vertical="top" wrapText="1"/>
    </xf>
    <xf numFmtId="164" fontId="9" fillId="0" borderId="3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top" wrapText="1"/>
    </xf>
    <xf numFmtId="164" fontId="12" fillId="0" borderId="5" xfId="0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vertical="top" wrapText="1"/>
    </xf>
    <xf numFmtId="164" fontId="12" fillId="0" borderId="6" xfId="0" applyFont="1" applyFill="1" applyBorder="1" applyAlignment="1">
      <alignment horizontal="center" vertical="top" wrapText="1"/>
    </xf>
    <xf numFmtId="164" fontId="12" fillId="0" borderId="8" xfId="0" applyFont="1" applyFill="1" applyBorder="1" applyAlignment="1">
      <alignment horizontal="center" vertical="top" wrapText="1"/>
    </xf>
    <xf numFmtId="164" fontId="11" fillId="0" borderId="8" xfId="0" applyFont="1" applyFill="1" applyBorder="1" applyAlignment="1">
      <alignment horizontal="left" vertical="top" wrapText="1"/>
    </xf>
    <xf numFmtId="164" fontId="0" fillId="0" borderId="0" xfId="0" applyFont="1" applyFill="1" applyAlignment="1">
      <alignment/>
    </xf>
    <xf numFmtId="166" fontId="11" fillId="0" borderId="5" xfId="0" applyNumberFormat="1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38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top" wrapText="1"/>
    </xf>
    <xf numFmtId="164" fontId="11" fillId="0" borderId="5" xfId="0" applyFont="1" applyFill="1" applyBorder="1" applyAlignment="1">
      <alignment horizontal="left" vertical="top" wrapText="1"/>
    </xf>
    <xf numFmtId="164" fontId="11" fillId="0" borderId="5" xfId="0" applyFont="1" applyFill="1" applyBorder="1" applyAlignment="1">
      <alignment horizontal="center" vertical="top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vertical="top" wrapText="1"/>
    </xf>
    <xf numFmtId="164" fontId="12" fillId="0" borderId="11" xfId="0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vertical="center" wrapText="1"/>
    </xf>
    <xf numFmtId="164" fontId="12" fillId="0" borderId="11" xfId="0" applyFont="1" applyFill="1" applyBorder="1" applyAlignment="1">
      <alignment horizontal="center" vertical="center" wrapText="1"/>
    </xf>
    <xf numFmtId="166" fontId="11" fillId="0" borderId="5" xfId="17" applyNumberFormat="1" applyFont="1" applyFill="1" applyBorder="1" applyAlignment="1" applyProtection="1">
      <alignment horizontal="center" vertical="top" wrapText="1"/>
      <protection/>
    </xf>
    <xf numFmtId="170" fontId="12" fillId="0" borderId="1" xfId="0" applyNumberFormat="1" applyFont="1" applyFill="1" applyBorder="1" applyAlignment="1">
      <alignment vertical="top" wrapText="1"/>
    </xf>
    <xf numFmtId="178" fontId="12" fillId="0" borderId="1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vertical="top" wrapText="1"/>
    </xf>
    <xf numFmtId="166" fontId="11" fillId="0" borderId="8" xfId="0" applyNumberFormat="1" applyFont="1" applyFill="1" applyBorder="1" applyAlignment="1">
      <alignment horizontal="center" vertical="top" wrapText="1"/>
    </xf>
    <xf numFmtId="164" fontId="8" fillId="0" borderId="52" xfId="0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17" xfId="0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top" wrapText="1"/>
    </xf>
    <xf numFmtId="164" fontId="0" fillId="0" borderId="17" xfId="0" applyFill="1" applyBorder="1" applyAlignment="1">
      <alignment/>
    </xf>
    <xf numFmtId="164" fontId="0" fillId="0" borderId="23" xfId="0" applyFill="1" applyBorder="1" applyAlignment="1">
      <alignment/>
    </xf>
    <xf numFmtId="164" fontId="12" fillId="0" borderId="31" xfId="0" applyFont="1" applyFill="1" applyBorder="1" applyAlignment="1">
      <alignment horizontal="center" vertical="center"/>
    </xf>
    <xf numFmtId="167" fontId="12" fillId="0" borderId="31" xfId="0" applyNumberFormat="1" applyFont="1" applyFill="1" applyBorder="1" applyAlignment="1">
      <alignment horizontal="center" vertical="top" wrapText="1"/>
    </xf>
    <xf numFmtId="164" fontId="0" fillId="0" borderId="31" xfId="0" applyFill="1" applyBorder="1" applyAlignment="1">
      <alignment/>
    </xf>
    <xf numFmtId="164" fontId="0" fillId="0" borderId="32" xfId="0" applyFill="1" applyBorder="1" applyAlignment="1">
      <alignment/>
    </xf>
    <xf numFmtId="164" fontId="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right"/>
    </xf>
    <xf numFmtId="164" fontId="7" fillId="0" borderId="53" xfId="0" applyFont="1" applyFill="1" applyBorder="1" applyAlignment="1">
      <alignment horizontal="center" wrapText="1"/>
    </xf>
    <xf numFmtId="164" fontId="12" fillId="0" borderId="29" xfId="0" applyFont="1" applyFill="1" applyBorder="1" applyAlignment="1">
      <alignment horizontal="center" vertical="center" wrapText="1"/>
    </xf>
    <xf numFmtId="164" fontId="34" fillId="0" borderId="29" xfId="0" applyFont="1" applyFill="1" applyBorder="1" applyAlignment="1">
      <alignment horizontal="center" vertical="center"/>
    </xf>
    <xf numFmtId="164" fontId="34" fillId="0" borderId="29" xfId="0" applyFont="1" applyFill="1" applyBorder="1" applyAlignment="1">
      <alignment horizontal="center" vertical="center" wrapText="1"/>
    </xf>
    <xf numFmtId="164" fontId="34" fillId="0" borderId="59" xfId="0" applyFont="1" applyFill="1" applyBorder="1" applyAlignment="1">
      <alignment horizontal="center" vertical="center"/>
    </xf>
    <xf numFmtId="164" fontId="12" fillId="0" borderId="38" xfId="0" applyFont="1" applyFill="1" applyBorder="1" applyAlignment="1">
      <alignment horizontal="center" vertical="center" wrapText="1"/>
    </xf>
    <xf numFmtId="164" fontId="12" fillId="0" borderId="61" xfId="0" applyFont="1" applyFill="1" applyBorder="1" applyAlignment="1">
      <alignment horizontal="center" vertical="center" wrapText="1"/>
    </xf>
    <xf numFmtId="164" fontId="11" fillId="0" borderId="54" xfId="0" applyFont="1" applyFill="1" applyBorder="1" applyAlignment="1">
      <alignment horizontal="center" vertical="top" wrapText="1"/>
    </xf>
    <xf numFmtId="164" fontId="11" fillId="0" borderId="60" xfId="0" applyFont="1" applyFill="1" applyBorder="1" applyAlignment="1">
      <alignment horizontal="center" vertical="top" wrapText="1"/>
    </xf>
    <xf numFmtId="164" fontId="11" fillId="0" borderId="29" xfId="0" applyFont="1" applyFill="1" applyBorder="1" applyAlignment="1">
      <alignment horizontal="center" vertical="top" wrapText="1"/>
    </xf>
    <xf numFmtId="164" fontId="11" fillId="0" borderId="38" xfId="0" applyFont="1" applyFill="1" applyBorder="1" applyAlignment="1">
      <alignment horizontal="center" vertical="top" wrapText="1"/>
    </xf>
    <xf numFmtId="164" fontId="12" fillId="0" borderId="29" xfId="0" applyFont="1" applyFill="1" applyBorder="1" applyAlignment="1">
      <alignment horizontal="left" vertical="top" wrapText="1"/>
    </xf>
    <xf numFmtId="164" fontId="12" fillId="0" borderId="65" xfId="0" applyFont="1" applyFill="1" applyBorder="1" applyAlignment="1">
      <alignment horizontal="left" vertical="top" wrapText="1"/>
    </xf>
    <xf numFmtId="166" fontId="11" fillId="0" borderId="33" xfId="0" applyNumberFormat="1" applyFont="1" applyFill="1" applyBorder="1" applyAlignment="1">
      <alignment horizontal="center" vertical="top" wrapText="1"/>
    </xf>
    <xf numFmtId="164" fontId="39" fillId="0" borderId="3" xfId="0" applyFont="1" applyFill="1" applyBorder="1" applyAlignment="1">
      <alignment horizontal="center" vertical="top" wrapText="1"/>
    </xf>
    <xf numFmtId="168" fontId="39" fillId="0" borderId="3" xfId="15" applyFont="1" applyFill="1" applyBorder="1" applyAlignment="1" applyProtection="1">
      <alignment vertical="center" wrapText="1"/>
      <protection/>
    </xf>
    <xf numFmtId="168" fontId="4" fillId="0" borderId="3" xfId="15" applyFont="1" applyFill="1" applyBorder="1" applyAlignment="1" applyProtection="1">
      <alignment vertical="center" wrapText="1"/>
      <protection/>
    </xf>
    <xf numFmtId="168" fontId="16" fillId="0" borderId="3" xfId="15" applyFont="1" applyFill="1" applyBorder="1" applyAlignment="1" applyProtection="1">
      <alignment horizontal="center" vertical="center" wrapText="1"/>
      <protection/>
    </xf>
    <xf numFmtId="164" fontId="11" fillId="0" borderId="35" xfId="0" applyFont="1" applyFill="1" applyBorder="1" applyAlignment="1">
      <alignment horizontal="center" vertical="top" wrapText="1"/>
    </xf>
    <xf numFmtId="168" fontId="39" fillId="0" borderId="1" xfId="15" applyFont="1" applyFill="1" applyBorder="1" applyAlignment="1" applyProtection="1">
      <alignment vertical="center" wrapText="1"/>
      <protection/>
    </xf>
    <xf numFmtId="168" fontId="4" fillId="0" borderId="1" xfId="15" applyFont="1" applyFill="1" applyBorder="1" applyAlignment="1" applyProtection="1">
      <alignment vertical="center" wrapText="1"/>
      <protection/>
    </xf>
    <xf numFmtId="168" fontId="16" fillId="0" borderId="1" xfId="15" applyFont="1" applyFill="1" applyBorder="1" applyAlignment="1" applyProtection="1">
      <alignment vertical="center" wrapText="1"/>
      <protection/>
    </xf>
    <xf numFmtId="164" fontId="39" fillId="0" borderId="1" xfId="0" applyFont="1" applyFill="1" applyBorder="1" applyAlignment="1">
      <alignment horizontal="center" vertical="top" wrapText="1"/>
    </xf>
    <xf numFmtId="164" fontId="39" fillId="0" borderId="1" xfId="0" applyFont="1" applyFill="1" applyBorder="1" applyAlignment="1">
      <alignment vertical="top" wrapText="1"/>
    </xf>
    <xf numFmtId="168" fontId="16" fillId="0" borderId="1" xfId="15" applyFont="1" applyFill="1" applyBorder="1" applyAlignment="1" applyProtection="1">
      <alignment horizontal="center" vertical="center" wrapText="1"/>
      <protection/>
    </xf>
    <xf numFmtId="164" fontId="16" fillId="0" borderId="1" xfId="0" applyFont="1" applyFill="1" applyBorder="1" applyAlignment="1">
      <alignment vertical="top" wrapText="1"/>
    </xf>
    <xf numFmtId="164" fontId="16" fillId="0" borderId="1" xfId="0" applyFont="1" applyFill="1" applyBorder="1" applyAlignment="1">
      <alignment horizontal="center" vertical="top" wrapText="1"/>
    </xf>
    <xf numFmtId="185" fontId="39" fillId="0" borderId="1" xfId="15" applyNumberFormat="1" applyFont="1" applyFill="1" applyBorder="1" applyAlignment="1" applyProtection="1">
      <alignment vertical="center" wrapText="1"/>
      <protection/>
    </xf>
    <xf numFmtId="185" fontId="4" fillId="0" borderId="1" xfId="15" applyNumberFormat="1" applyFont="1" applyFill="1" applyBorder="1" applyAlignment="1" applyProtection="1">
      <alignment vertical="center" wrapText="1"/>
      <protection/>
    </xf>
    <xf numFmtId="164" fontId="39" fillId="0" borderId="31" xfId="0" applyFont="1" applyFill="1" applyBorder="1" applyAlignment="1">
      <alignment horizontal="center" vertical="top" wrapText="1"/>
    </xf>
    <xf numFmtId="164" fontId="39" fillId="0" borderId="31" xfId="0" applyFont="1" applyFill="1" applyBorder="1" applyAlignment="1">
      <alignment vertical="top" wrapText="1"/>
    </xf>
    <xf numFmtId="185" fontId="39" fillId="0" borderId="31" xfId="15" applyNumberFormat="1" applyFont="1" applyFill="1" applyBorder="1" applyAlignment="1" applyProtection="1">
      <alignment vertical="center" wrapText="1"/>
      <protection/>
    </xf>
    <xf numFmtId="185" fontId="4" fillId="0" borderId="31" xfId="15" applyNumberFormat="1" applyFont="1" applyFill="1" applyBorder="1" applyAlignment="1" applyProtection="1">
      <alignment vertical="center" wrapText="1"/>
      <protection/>
    </xf>
    <xf numFmtId="168" fontId="4" fillId="0" borderId="31" xfId="15" applyFont="1" applyFill="1" applyBorder="1" applyAlignment="1" applyProtection="1">
      <alignment vertical="center" wrapText="1"/>
      <protection/>
    </xf>
    <xf numFmtId="168" fontId="16" fillId="0" borderId="31" xfId="15" applyFont="1" applyFill="1" applyBorder="1" applyAlignment="1" applyProtection="1">
      <alignment vertical="center" wrapText="1"/>
      <protection/>
    </xf>
    <xf numFmtId="166" fontId="8" fillId="0" borderId="54" xfId="0" applyNumberFormat="1" applyFont="1" applyFill="1" applyBorder="1" applyAlignment="1">
      <alignment horizontal="center" vertical="center" wrapText="1"/>
    </xf>
    <xf numFmtId="164" fontId="39" fillId="0" borderId="0" xfId="0" applyFont="1" applyFill="1" applyAlignment="1">
      <alignment/>
    </xf>
    <xf numFmtId="166" fontId="11" fillId="0" borderId="0" xfId="0" applyNumberFormat="1" applyFont="1" applyFill="1" applyBorder="1" applyAlignment="1">
      <alignment vertical="top" wrapText="1"/>
    </xf>
    <xf numFmtId="164" fontId="12" fillId="0" borderId="54" xfId="0" applyFont="1" applyFill="1" applyBorder="1" applyAlignment="1">
      <alignment horizontal="left" vertical="top" wrapText="1"/>
    </xf>
    <xf numFmtId="166" fontId="11" fillId="0" borderId="29" xfId="0" applyNumberFormat="1" applyFont="1" applyFill="1" applyBorder="1" applyAlignment="1">
      <alignment horizontal="center" vertical="top" wrapText="1"/>
    </xf>
    <xf numFmtId="164" fontId="4" fillId="0" borderId="61" xfId="0" applyFont="1" applyFill="1" applyBorder="1" applyAlignment="1">
      <alignment horizontal="center" vertical="top" wrapText="1"/>
    </xf>
    <xf numFmtId="164" fontId="39" fillId="0" borderId="61" xfId="0" applyFont="1" applyFill="1" applyBorder="1" applyAlignment="1">
      <alignment horizontal="center" vertical="center" wrapText="1"/>
    </xf>
    <xf numFmtId="164" fontId="16" fillId="0" borderId="38" xfId="0" applyFont="1" applyFill="1" applyBorder="1" applyAlignment="1">
      <alignment vertical="top" wrapText="1"/>
    </xf>
    <xf numFmtId="170" fontId="16" fillId="0" borderId="61" xfId="0" applyNumberFormat="1" applyFont="1" applyFill="1" applyBorder="1" applyAlignment="1">
      <alignment horizontal="center" vertical="center" wrapText="1"/>
    </xf>
    <xf numFmtId="178" fontId="4" fillId="0" borderId="61" xfId="0" applyNumberFormat="1" applyFont="1" applyFill="1" applyBorder="1" applyAlignment="1">
      <alignment horizontal="center" vertical="center" wrapText="1"/>
    </xf>
    <xf numFmtId="164" fontId="16" fillId="0" borderId="55" xfId="0" applyFont="1" applyFill="1" applyBorder="1" applyAlignment="1">
      <alignment vertical="center" wrapText="1"/>
    </xf>
    <xf numFmtId="170" fontId="4" fillId="0" borderId="61" xfId="0" applyNumberFormat="1" applyFont="1" applyFill="1" applyBorder="1" applyAlignment="1">
      <alignment horizontal="center" vertical="center" wrapText="1"/>
    </xf>
    <xf numFmtId="170" fontId="4" fillId="0" borderId="48" xfId="0" applyNumberFormat="1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horizontal="center" vertical="center" wrapText="1"/>
    </xf>
    <xf numFmtId="164" fontId="11" fillId="0" borderId="38" xfId="0" applyFont="1" applyFill="1" applyBorder="1" applyAlignment="1">
      <alignment horizontal="center" vertical="center" wrapText="1"/>
    </xf>
    <xf numFmtId="164" fontId="39" fillId="0" borderId="74" xfId="0" applyFont="1" applyFill="1" applyBorder="1" applyAlignment="1">
      <alignment horizontal="center" vertical="center" wrapText="1"/>
    </xf>
    <xf numFmtId="164" fontId="16" fillId="0" borderId="75" xfId="0" applyFont="1" applyFill="1" applyBorder="1" applyAlignment="1">
      <alignment vertical="top" wrapText="1"/>
    </xf>
    <xf numFmtId="185" fontId="16" fillId="0" borderId="61" xfId="15" applyNumberFormat="1" applyFont="1" applyFill="1" applyBorder="1" applyAlignment="1" applyProtection="1">
      <alignment horizontal="center" vertical="center" wrapText="1"/>
      <protection/>
    </xf>
    <xf numFmtId="185" fontId="4" fillId="0" borderId="74" xfId="15" applyNumberFormat="1" applyFont="1" applyFill="1" applyBorder="1" applyAlignment="1" applyProtection="1">
      <alignment vertical="center" wrapText="1"/>
      <protection/>
    </xf>
    <xf numFmtId="170" fontId="5" fillId="0" borderId="74" xfId="15" applyNumberFormat="1" applyFont="1" applyFill="1" applyBorder="1" applyAlignment="1" applyProtection="1">
      <alignment horizontal="center" vertical="center" wrapText="1"/>
      <protection/>
    </xf>
    <xf numFmtId="178" fontId="5" fillId="0" borderId="74" xfId="0" applyNumberFormat="1" applyFont="1" applyFill="1" applyBorder="1" applyAlignment="1">
      <alignment horizontal="center" vertical="center" wrapText="1"/>
    </xf>
    <xf numFmtId="164" fontId="15" fillId="0" borderId="77" xfId="0" applyFont="1" applyFill="1" applyBorder="1" applyAlignment="1">
      <alignment vertical="center" wrapText="1"/>
    </xf>
    <xf numFmtId="170" fontId="5" fillId="0" borderId="74" xfId="0" applyNumberFormat="1" applyFont="1" applyFill="1" applyBorder="1" applyAlignment="1">
      <alignment horizontal="center" vertical="center" wrapText="1"/>
    </xf>
    <xf numFmtId="170" fontId="5" fillId="0" borderId="29" xfId="0" applyNumberFormat="1" applyFont="1" applyFill="1" applyBorder="1" applyAlignment="1">
      <alignment horizontal="center" vertical="center" wrapText="1"/>
    </xf>
    <xf numFmtId="169" fontId="16" fillId="0" borderId="61" xfId="15" applyNumberFormat="1" applyFont="1" applyFill="1" applyBorder="1" applyAlignment="1" applyProtection="1">
      <alignment horizontal="center" vertical="center" wrapText="1"/>
      <protection/>
    </xf>
    <xf numFmtId="169" fontId="4" fillId="0" borderId="74" xfId="15" applyNumberFormat="1" applyFont="1" applyFill="1" applyBorder="1" applyAlignment="1" applyProtection="1">
      <alignment horizontal="center" vertical="center" wrapText="1"/>
      <protection/>
    </xf>
    <xf numFmtId="164" fontId="15" fillId="0" borderId="77" xfId="0" applyFont="1" applyFill="1" applyBorder="1" applyAlignment="1">
      <alignment horizontal="center" vertical="center" wrapText="1"/>
    </xf>
    <xf numFmtId="170" fontId="5" fillId="0" borderId="39" xfId="0" applyNumberFormat="1" applyFont="1" applyFill="1" applyBorder="1" applyAlignment="1">
      <alignment horizontal="center" vertical="center" wrapText="1"/>
    </xf>
    <xf numFmtId="169" fontId="5" fillId="0" borderId="74" xfId="15" applyNumberFormat="1" applyFont="1" applyFill="1" applyBorder="1" applyAlignment="1" applyProtection="1">
      <alignment horizontal="center" vertical="center" wrapText="1"/>
      <protection/>
    </xf>
    <xf numFmtId="170" fontId="5" fillId="0" borderId="61" xfId="0" applyNumberFormat="1" applyFont="1" applyFill="1" applyBorder="1" applyAlignment="1">
      <alignment horizontal="center" vertical="center" wrapText="1"/>
    </xf>
    <xf numFmtId="169" fontId="16" fillId="0" borderId="74" xfId="15" applyNumberFormat="1" applyFont="1" applyFill="1" applyBorder="1" applyAlignment="1" applyProtection="1">
      <alignment horizontal="center" vertical="center" wrapText="1"/>
      <protection/>
    </xf>
    <xf numFmtId="170" fontId="5" fillId="0" borderId="59" xfId="0" applyNumberFormat="1" applyFont="1" applyFill="1" applyBorder="1" applyAlignment="1">
      <alignment horizontal="center" vertical="center" wrapText="1"/>
    </xf>
    <xf numFmtId="164" fontId="39" fillId="0" borderId="31" xfId="0" applyFont="1" applyFill="1" applyBorder="1" applyAlignment="1">
      <alignment horizontal="center" vertical="center" wrapText="1"/>
    </xf>
    <xf numFmtId="164" fontId="16" fillId="0" borderId="31" xfId="0" applyFont="1" applyFill="1" applyBorder="1" applyAlignment="1">
      <alignment vertical="top" wrapText="1"/>
    </xf>
    <xf numFmtId="169" fontId="16" fillId="0" borderId="33" xfId="15" applyNumberFormat="1" applyFont="1" applyFill="1" applyBorder="1" applyAlignment="1" applyProtection="1">
      <alignment horizontal="center" vertical="center" wrapText="1"/>
      <protection/>
    </xf>
    <xf numFmtId="169" fontId="4" fillId="0" borderId="31" xfId="15" applyNumberFormat="1" applyFont="1" applyFill="1" applyBorder="1" applyAlignment="1" applyProtection="1">
      <alignment horizontal="center" vertical="center" wrapText="1"/>
      <protection/>
    </xf>
    <xf numFmtId="170" fontId="5" fillId="0" borderId="31" xfId="15" applyNumberFormat="1" applyFont="1" applyFill="1" applyBorder="1" applyAlignment="1" applyProtection="1">
      <alignment horizontal="center" vertical="center" wrapText="1"/>
      <protection/>
    </xf>
    <xf numFmtId="178" fontId="5" fillId="0" borderId="31" xfId="0" applyNumberFormat="1" applyFont="1" applyFill="1" applyBorder="1" applyAlignment="1">
      <alignment horizontal="center" vertical="center" wrapText="1"/>
    </xf>
    <xf numFmtId="164" fontId="15" fillId="0" borderId="31" xfId="0" applyFont="1" applyFill="1" applyBorder="1" applyAlignment="1">
      <alignment horizontal="center" vertical="center" wrapText="1"/>
    </xf>
    <xf numFmtId="170" fontId="5" fillId="0" borderId="31" xfId="0" applyNumberFormat="1" applyFont="1" applyFill="1" applyBorder="1" applyAlignment="1">
      <alignment horizontal="center" vertical="center" wrapText="1"/>
    </xf>
    <xf numFmtId="170" fontId="5" fillId="0" borderId="32" xfId="0" applyNumberFormat="1" applyFont="1" applyFill="1" applyBorder="1" applyAlignment="1">
      <alignment horizontal="center" vertical="center" wrapText="1"/>
    </xf>
    <xf numFmtId="164" fontId="40" fillId="0" borderId="0" xfId="0" applyFont="1" applyFill="1" applyAlignment="1">
      <alignment/>
    </xf>
    <xf numFmtId="164" fontId="6" fillId="0" borderId="61" xfId="0" applyFont="1" applyFill="1" applyBorder="1" applyAlignment="1">
      <alignment horizontal="center" vertical="top" wrapText="1"/>
    </xf>
    <xf numFmtId="164" fontId="7" fillId="0" borderId="27" xfId="0" applyFont="1" applyFill="1" applyBorder="1" applyAlignment="1">
      <alignment vertical="top" wrapText="1"/>
    </xf>
    <xf numFmtId="185" fontId="8" fillId="0" borderId="26" xfId="15" applyNumberFormat="1" applyFont="1" applyFill="1" applyBorder="1" applyAlignment="1" applyProtection="1">
      <alignment vertical="center" wrapText="1"/>
      <protection/>
    </xf>
    <xf numFmtId="185" fontId="8" fillId="0" borderId="61" xfId="15" applyNumberFormat="1" applyFont="1" applyFill="1" applyBorder="1" applyAlignment="1" applyProtection="1">
      <alignment vertical="center" wrapText="1"/>
      <protection/>
    </xf>
    <xf numFmtId="164" fontId="15" fillId="0" borderId="29" xfId="0" applyFont="1" applyFill="1" applyBorder="1" applyAlignment="1">
      <alignment horizontal="center"/>
    </xf>
    <xf numFmtId="164" fontId="5" fillId="0" borderId="29" xfId="0" applyFont="1" applyFill="1" applyBorder="1" applyAlignment="1">
      <alignment horizontal="center" vertical="top" wrapText="1"/>
    </xf>
    <xf numFmtId="164" fontId="15" fillId="0" borderId="0" xfId="0" applyFont="1" applyFill="1" applyAlignment="1">
      <alignment/>
    </xf>
    <xf numFmtId="164" fontId="7" fillId="0" borderId="12" xfId="0" applyFont="1" applyFill="1" applyBorder="1" applyAlignment="1">
      <alignment vertical="top" wrapText="1"/>
    </xf>
    <xf numFmtId="164" fontId="7" fillId="0" borderId="18" xfId="0" applyFont="1" applyFill="1" applyBorder="1" applyAlignment="1">
      <alignment vertical="top" wrapText="1"/>
    </xf>
    <xf numFmtId="185" fontId="7" fillId="0" borderId="18" xfId="15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Font="1" applyFill="1" applyBorder="1" applyAlignment="1">
      <alignment horizontal="center" vertical="center" wrapText="1"/>
    </xf>
    <xf numFmtId="164" fontId="7" fillId="0" borderId="20" xfId="0" applyFont="1" applyFill="1" applyBorder="1" applyAlignment="1">
      <alignment horizontal="center" vertical="center" wrapText="1"/>
    </xf>
    <xf numFmtId="164" fontId="7" fillId="0" borderId="39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top" wrapText="1"/>
    </xf>
    <xf numFmtId="185" fontId="7" fillId="0" borderId="3" xfId="15" applyNumberFormat="1" applyFont="1" applyFill="1" applyBorder="1" applyAlignment="1" applyProtection="1">
      <alignment horizontal="center" vertical="center" wrapText="1"/>
      <protection/>
    </xf>
    <xf numFmtId="170" fontId="7" fillId="0" borderId="41" xfId="15" applyNumberFormat="1" applyFont="1" applyFill="1" applyBorder="1" applyAlignment="1" applyProtection="1">
      <alignment horizontal="center" vertical="center" wrapText="1"/>
      <protection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top" wrapText="1"/>
    </xf>
    <xf numFmtId="185" fontId="7" fillId="0" borderId="1" xfId="15" applyNumberFormat="1" applyFont="1" applyFill="1" applyBorder="1" applyAlignment="1" applyProtection="1">
      <alignment horizontal="center" vertical="center" wrapText="1"/>
      <protection/>
    </xf>
    <xf numFmtId="170" fontId="7" fillId="0" borderId="1" xfId="15" applyNumberFormat="1" applyFont="1" applyFill="1" applyBorder="1" applyAlignment="1" applyProtection="1">
      <alignment horizontal="center" vertical="center" wrapText="1"/>
      <protection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170" fontId="7" fillId="0" borderId="6" xfId="15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Font="1" applyFill="1" applyBorder="1" applyAlignment="1">
      <alignment vertical="top" wrapText="1"/>
    </xf>
    <xf numFmtId="185" fontId="7" fillId="0" borderId="31" xfId="15" applyNumberFormat="1" applyFont="1" applyFill="1" applyBorder="1" applyAlignment="1" applyProtection="1">
      <alignment horizontal="center" vertical="center" wrapText="1"/>
      <protection/>
    </xf>
    <xf numFmtId="170" fontId="7" fillId="0" borderId="31" xfId="15" applyNumberFormat="1" applyFont="1" applyFill="1" applyBorder="1" applyAlignment="1" applyProtection="1">
      <alignment horizontal="center" vertical="center" wrapText="1"/>
      <protection/>
    </xf>
    <xf numFmtId="170" fontId="7" fillId="0" borderId="32" xfId="15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vertical="top" wrapText="1"/>
    </xf>
    <xf numFmtId="178" fontId="12" fillId="0" borderId="0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3"/>
  <sheetViews>
    <sheetView tabSelected="1" zoomScale="80" zoomScaleNormal="80" zoomScaleSheetLayoutView="75" workbookViewId="0" topLeftCell="A1">
      <selection activeCell="M612" sqref="M612"/>
    </sheetView>
  </sheetViews>
  <sheetFormatPr defaultColWidth="9.00390625" defaultRowHeight="18.75" customHeight="1"/>
  <cols>
    <col min="1" max="1" width="8.375" style="1" customWidth="1"/>
    <col min="2" max="2" width="49.125" style="2" customWidth="1"/>
    <col min="3" max="3" width="21.375" style="2" customWidth="1"/>
    <col min="4" max="4" width="13.50390625" style="2" customWidth="1"/>
    <col min="5" max="5" width="22.75390625" style="2" customWidth="1"/>
    <col min="6" max="6" width="24.875" style="2" customWidth="1"/>
    <col min="7" max="7" width="20.75390625" style="2" customWidth="1"/>
    <col min="8" max="8" width="20.00390625" style="2" customWidth="1"/>
    <col min="9" max="9" width="21.50390625" style="2" customWidth="1"/>
    <col min="10" max="10" width="31.50390625" style="2" customWidth="1"/>
    <col min="11" max="11" width="21.25390625" style="2" customWidth="1"/>
    <col min="12" max="12" width="28.125" style="3" customWidth="1"/>
    <col min="13" max="13" width="62.125" style="4" customWidth="1"/>
    <col min="14" max="16" width="9.125" style="2" customWidth="1"/>
    <col min="17" max="17" width="27.875" style="2" customWidth="1"/>
    <col min="18" max="18" width="31.75390625" style="2" customWidth="1"/>
    <col min="19" max="19" width="29.125" style="2" customWidth="1"/>
    <col min="20" max="20" width="25.75390625" style="2" customWidth="1"/>
    <col min="21" max="21" width="34.50390625" style="2" customWidth="1"/>
    <col min="22" max="16384" width="9.125" style="2" customWidth="1"/>
  </cols>
  <sheetData>
    <row r="1" spans="10:13" ht="27" customHeight="1">
      <c r="J1" s="5" t="s">
        <v>0</v>
      </c>
      <c r="K1" s="5"/>
      <c r="L1" s="5"/>
      <c r="M1" s="5"/>
    </row>
    <row r="2" spans="10:13" ht="36" customHeight="1">
      <c r="J2" s="6" t="s">
        <v>1</v>
      </c>
      <c r="K2" s="6"/>
      <c r="L2" s="6"/>
      <c r="M2" s="6"/>
    </row>
    <row r="3" spans="2:12" ht="18.75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ht="19.5" customHeight="1">
      <c r="J4" s="2" t="s">
        <v>3</v>
      </c>
    </row>
    <row r="5" spans="1:13" ht="28.5" customHeight="1">
      <c r="A5" s="8"/>
      <c r="B5" s="9" t="s">
        <v>4</v>
      </c>
      <c r="C5" s="9"/>
      <c r="D5" s="10" t="s">
        <v>5</v>
      </c>
      <c r="E5" s="9" t="s">
        <v>6</v>
      </c>
      <c r="F5" s="9" t="s">
        <v>7</v>
      </c>
      <c r="G5" s="9"/>
      <c r="H5" s="9"/>
      <c r="I5" s="9"/>
      <c r="J5" s="9"/>
      <c r="K5" s="9" t="s">
        <v>8</v>
      </c>
      <c r="L5" s="9" t="s">
        <v>9</v>
      </c>
      <c r="M5" s="11" t="s">
        <v>10</v>
      </c>
    </row>
    <row r="6" spans="1:13" ht="28.5" customHeight="1">
      <c r="A6" s="8"/>
      <c r="B6" s="9"/>
      <c r="C6" s="9"/>
      <c r="D6" s="10"/>
      <c r="E6" s="9"/>
      <c r="F6" s="12" t="s">
        <v>11</v>
      </c>
      <c r="G6" s="13" t="s">
        <v>12</v>
      </c>
      <c r="H6" s="13"/>
      <c r="I6" s="13"/>
      <c r="J6" s="13"/>
      <c r="K6" s="9"/>
      <c r="L6" s="9"/>
      <c r="M6" s="11"/>
    </row>
    <row r="7" spans="1:13" ht="28.5" customHeight="1">
      <c r="A7" s="8"/>
      <c r="B7" s="9"/>
      <c r="C7" s="9"/>
      <c r="D7" s="10"/>
      <c r="E7" s="9"/>
      <c r="F7" s="12"/>
      <c r="G7" s="13" t="s">
        <v>13</v>
      </c>
      <c r="H7" s="13"/>
      <c r="I7" s="13"/>
      <c r="J7" s="13" t="s">
        <v>14</v>
      </c>
      <c r="K7" s="9"/>
      <c r="L7" s="9"/>
      <c r="M7" s="11"/>
    </row>
    <row r="8" spans="1:13" ht="28.5" customHeight="1">
      <c r="A8" s="8"/>
      <c r="B8" s="9"/>
      <c r="C8" s="9"/>
      <c r="D8" s="10"/>
      <c r="E8" s="9"/>
      <c r="F8" s="12"/>
      <c r="G8" s="13" t="s">
        <v>15</v>
      </c>
      <c r="H8" s="13" t="s">
        <v>16</v>
      </c>
      <c r="I8" s="13"/>
      <c r="J8" s="13"/>
      <c r="K8" s="13"/>
      <c r="L8" s="13"/>
      <c r="M8" s="11"/>
    </row>
    <row r="9" spans="1:13" ht="73.5" customHeight="1">
      <c r="A9" s="8"/>
      <c r="B9" s="9"/>
      <c r="C9" s="9"/>
      <c r="D9" s="10"/>
      <c r="E9" s="9"/>
      <c r="F9" s="12"/>
      <c r="G9" s="13"/>
      <c r="H9" s="13" t="s">
        <v>17</v>
      </c>
      <c r="I9" s="13" t="s">
        <v>18</v>
      </c>
      <c r="J9" s="13"/>
      <c r="K9" s="13"/>
      <c r="L9" s="13"/>
      <c r="M9" s="11"/>
    </row>
    <row r="10" spans="1:13" s="17" customFormat="1" ht="20.25" customHeight="1">
      <c r="A10" s="14">
        <v>1</v>
      </c>
      <c r="B10" s="15">
        <v>2</v>
      </c>
      <c r="C10" s="15"/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6">
        <v>12</v>
      </c>
    </row>
    <row r="11" spans="1:13" ht="24" customHeight="1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51" customHeight="1">
      <c r="A12" s="19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7" customFormat="1" ht="95.25" customHeight="1">
      <c r="A13" s="20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7" customFormat="1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s="17" customFormat="1" ht="42" customHeight="1">
      <c r="A15" s="22" t="s">
        <v>22</v>
      </c>
      <c r="B15" s="23" t="s">
        <v>23</v>
      </c>
      <c r="C15" s="24" t="s">
        <v>15</v>
      </c>
      <c r="D15" s="24">
        <v>2020</v>
      </c>
      <c r="E15" s="25">
        <f>E17+E18+E23+E24</f>
        <v>1128.3</v>
      </c>
      <c r="F15" s="25">
        <f>F17+F18+F23+F24</f>
        <v>0</v>
      </c>
      <c r="G15" s="25">
        <f>G17+G18+G23+G24</f>
        <v>1117</v>
      </c>
      <c r="H15" s="25">
        <f>H17+H18+H23+H24</f>
        <v>1094.7</v>
      </c>
      <c r="I15" s="25">
        <f>I17+I18+I23+I24</f>
        <v>22.3</v>
      </c>
      <c r="J15" s="25">
        <f>J17+J18+J23+J24</f>
        <v>11.299999999999997</v>
      </c>
      <c r="K15" s="25">
        <f>K17+K18+K23+K24</f>
        <v>0</v>
      </c>
      <c r="L15" s="24" t="s">
        <v>24</v>
      </c>
      <c r="M15" s="26" t="s">
        <v>25</v>
      </c>
    </row>
    <row r="16" spans="1:13" s="17" customFormat="1" ht="34.5" customHeight="1">
      <c r="A16" s="22"/>
      <c r="B16" s="23"/>
      <c r="C16" s="24" t="s">
        <v>26</v>
      </c>
      <c r="D16" s="24">
        <v>2021</v>
      </c>
      <c r="E16" s="25">
        <f>E19+E20</f>
        <v>2084.7</v>
      </c>
      <c r="F16" s="25">
        <f>F19+F20</f>
        <v>0</v>
      </c>
      <c r="G16" s="25">
        <f>G19+G20</f>
        <v>2063.7999999999997</v>
      </c>
      <c r="H16" s="25">
        <f>H19+H20</f>
        <v>2063.7999999999997</v>
      </c>
      <c r="I16" s="25">
        <f>I19+I20</f>
        <v>0</v>
      </c>
      <c r="J16" s="25">
        <f>J19+J20</f>
        <v>20.9</v>
      </c>
      <c r="K16" s="25">
        <f>K19+K20</f>
        <v>0</v>
      </c>
      <c r="L16" s="24"/>
      <c r="M16" s="26"/>
    </row>
    <row r="17" spans="1:13" s="17" customFormat="1" ht="32.25" customHeight="1">
      <c r="A17" s="22"/>
      <c r="B17" s="23"/>
      <c r="C17" s="27" t="s">
        <v>27</v>
      </c>
      <c r="D17" s="27">
        <v>2020</v>
      </c>
      <c r="E17" s="28">
        <f aca="true" t="shared" si="0" ref="E17:E24">F17+G17+J17+K17</f>
        <v>0</v>
      </c>
      <c r="F17" s="25"/>
      <c r="G17" s="28">
        <f aca="true" t="shared" si="1" ref="G17:G24">H17+I17</f>
        <v>0</v>
      </c>
      <c r="H17" s="28">
        <f>557-557</f>
        <v>0</v>
      </c>
      <c r="I17" s="28">
        <v>0</v>
      </c>
      <c r="J17" s="28">
        <f>83.33-83.33</f>
        <v>0</v>
      </c>
      <c r="K17" s="28">
        <v>0</v>
      </c>
      <c r="L17" s="29" t="s">
        <v>27</v>
      </c>
      <c r="M17" s="26"/>
    </row>
    <row r="18" spans="1:13" s="17" customFormat="1" ht="30" customHeight="1">
      <c r="A18" s="22"/>
      <c r="B18" s="23"/>
      <c r="C18" s="30" t="s">
        <v>24</v>
      </c>
      <c r="D18" s="30">
        <v>2020</v>
      </c>
      <c r="E18" s="31">
        <f t="shared" si="0"/>
        <v>1128.3</v>
      </c>
      <c r="F18" s="32"/>
      <c r="G18" s="33">
        <f t="shared" si="1"/>
        <v>1117</v>
      </c>
      <c r="H18" s="33">
        <v>1094.7</v>
      </c>
      <c r="I18" s="33">
        <v>22.3</v>
      </c>
      <c r="J18" s="33">
        <f>83.678-72.378</f>
        <v>11.299999999999997</v>
      </c>
      <c r="K18" s="33">
        <v>0</v>
      </c>
      <c r="L18" s="34" t="s">
        <v>24</v>
      </c>
      <c r="M18" s="26"/>
    </row>
    <row r="19" spans="1:13" s="17" customFormat="1" ht="28.5" customHeight="1">
      <c r="A19" s="22"/>
      <c r="B19" s="23"/>
      <c r="C19" s="30" t="s">
        <v>27</v>
      </c>
      <c r="D19" s="30">
        <v>2021</v>
      </c>
      <c r="E19" s="31">
        <f t="shared" si="0"/>
        <v>2084.7</v>
      </c>
      <c r="F19" s="32"/>
      <c r="G19" s="33">
        <f t="shared" si="1"/>
        <v>2063.7999999999997</v>
      </c>
      <c r="H19" s="33">
        <f>2084.7-20.9</f>
        <v>2063.7999999999997</v>
      </c>
      <c r="I19" s="33">
        <v>0</v>
      </c>
      <c r="J19" s="33">
        <v>20.9</v>
      </c>
      <c r="K19" s="33">
        <v>0</v>
      </c>
      <c r="L19" s="29" t="s">
        <v>27</v>
      </c>
      <c r="M19" s="26"/>
    </row>
    <row r="20" spans="1:13" s="17" customFormat="1" ht="24.75" customHeight="1">
      <c r="A20" s="22"/>
      <c r="B20" s="23"/>
      <c r="C20" s="30" t="s">
        <v>24</v>
      </c>
      <c r="D20" s="30">
        <v>2021</v>
      </c>
      <c r="E20" s="31">
        <f t="shared" si="0"/>
        <v>0</v>
      </c>
      <c r="F20" s="32"/>
      <c r="G20" s="33">
        <f t="shared" si="1"/>
        <v>0</v>
      </c>
      <c r="H20" s="33">
        <f>565-565</f>
        <v>0</v>
      </c>
      <c r="I20" s="33">
        <v>0</v>
      </c>
      <c r="J20" s="33">
        <v>0</v>
      </c>
      <c r="K20" s="33">
        <v>0</v>
      </c>
      <c r="L20" s="34" t="s">
        <v>24</v>
      </c>
      <c r="M20" s="26"/>
    </row>
    <row r="21" spans="1:13" s="17" customFormat="1" ht="30" customHeight="1">
      <c r="A21" s="35"/>
      <c r="B21" s="23"/>
      <c r="C21" s="30" t="s">
        <v>24</v>
      </c>
      <c r="D21" s="30">
        <v>2022</v>
      </c>
      <c r="E21" s="31">
        <f t="shared" si="0"/>
        <v>0</v>
      </c>
      <c r="F21" s="32"/>
      <c r="G21" s="33">
        <f t="shared" si="1"/>
        <v>0</v>
      </c>
      <c r="H21" s="33">
        <v>0</v>
      </c>
      <c r="I21" s="33">
        <v>0</v>
      </c>
      <c r="J21" s="33">
        <v>0</v>
      </c>
      <c r="K21" s="33">
        <v>0</v>
      </c>
      <c r="L21" s="36"/>
      <c r="M21" s="26"/>
    </row>
    <row r="22" spans="1:13" s="17" customFormat="1" ht="27" customHeight="1">
      <c r="A22" s="35"/>
      <c r="B22" s="23"/>
      <c r="C22" s="30" t="s">
        <v>24</v>
      </c>
      <c r="D22" s="30">
        <v>2023</v>
      </c>
      <c r="E22" s="31">
        <f t="shared" si="0"/>
        <v>0</v>
      </c>
      <c r="F22" s="32"/>
      <c r="G22" s="33">
        <f t="shared" si="1"/>
        <v>0</v>
      </c>
      <c r="H22" s="33">
        <v>0</v>
      </c>
      <c r="I22" s="33">
        <v>0</v>
      </c>
      <c r="J22" s="33">
        <v>0</v>
      </c>
      <c r="K22" s="33">
        <v>0</v>
      </c>
      <c r="L22" s="36"/>
      <c r="M22" s="26"/>
    </row>
    <row r="23" spans="1:13" s="17" customFormat="1" ht="43.5" customHeight="1">
      <c r="A23" s="22" t="s">
        <v>28</v>
      </c>
      <c r="B23" s="37" t="s">
        <v>29</v>
      </c>
      <c r="C23" s="30" t="s">
        <v>27</v>
      </c>
      <c r="D23" s="30">
        <v>2020</v>
      </c>
      <c r="E23" s="31">
        <f t="shared" si="0"/>
        <v>0</v>
      </c>
      <c r="F23" s="15"/>
      <c r="G23" s="33">
        <f t="shared" si="1"/>
        <v>0</v>
      </c>
      <c r="H23" s="33">
        <v>0</v>
      </c>
      <c r="I23" s="33">
        <v>0</v>
      </c>
      <c r="J23" s="33">
        <v>0</v>
      </c>
      <c r="K23" s="33">
        <v>0</v>
      </c>
      <c r="L23" s="29" t="s">
        <v>27</v>
      </c>
      <c r="M23" s="26"/>
    </row>
    <row r="24" spans="1:13" s="17" customFormat="1" ht="105.75" customHeight="1">
      <c r="A24" s="22"/>
      <c r="B24" s="37"/>
      <c r="C24" s="30" t="s">
        <v>24</v>
      </c>
      <c r="D24" s="30">
        <v>2020</v>
      </c>
      <c r="E24" s="31">
        <f t="shared" si="0"/>
        <v>0</v>
      </c>
      <c r="F24" s="15"/>
      <c r="G24" s="33">
        <f t="shared" si="1"/>
        <v>0</v>
      </c>
      <c r="H24" s="33">
        <v>0</v>
      </c>
      <c r="I24" s="33">
        <v>0</v>
      </c>
      <c r="J24" s="33">
        <v>0</v>
      </c>
      <c r="K24" s="33">
        <v>0</v>
      </c>
      <c r="L24" s="34" t="s">
        <v>24</v>
      </c>
      <c r="M24" s="26"/>
    </row>
    <row r="25" spans="1:13" s="17" customFormat="1" ht="30.75" customHeight="1">
      <c r="A25" s="22" t="s">
        <v>30</v>
      </c>
      <c r="B25" s="38" t="s">
        <v>31</v>
      </c>
      <c r="C25" s="39"/>
      <c r="D25" s="13">
        <v>2021</v>
      </c>
      <c r="E25" s="40">
        <f>E26</f>
        <v>919.54</v>
      </c>
      <c r="F25" s="41">
        <f>F26</f>
        <v>0</v>
      </c>
      <c r="G25" s="41">
        <f>G26</f>
        <v>800</v>
      </c>
      <c r="H25" s="41">
        <f>H26</f>
        <v>784</v>
      </c>
      <c r="I25" s="41">
        <f>I26</f>
        <v>16</v>
      </c>
      <c r="J25" s="41">
        <f>J26</f>
        <v>119.54</v>
      </c>
      <c r="K25" s="41">
        <f>K26</f>
        <v>0</v>
      </c>
      <c r="L25" s="42"/>
      <c r="M25" s="43" t="s">
        <v>32</v>
      </c>
    </row>
    <row r="26" spans="1:13" s="17" customFormat="1" ht="33" customHeight="1">
      <c r="A26" s="22"/>
      <c r="B26" s="38"/>
      <c r="C26" s="30" t="s">
        <v>24</v>
      </c>
      <c r="D26" s="13">
        <v>2021</v>
      </c>
      <c r="E26" s="31">
        <f>F26+G26+J26+K26</f>
        <v>919.54</v>
      </c>
      <c r="F26" s="32"/>
      <c r="G26" s="33">
        <f>H26+I26</f>
        <v>800</v>
      </c>
      <c r="H26" s="33">
        <v>784</v>
      </c>
      <c r="I26" s="33">
        <v>16</v>
      </c>
      <c r="J26" s="33">
        <v>119.54</v>
      </c>
      <c r="K26" s="32">
        <v>0</v>
      </c>
      <c r="L26" s="34" t="s">
        <v>24</v>
      </c>
      <c r="M26" s="43"/>
    </row>
    <row r="27" spans="1:13" s="17" customFormat="1" ht="33" customHeight="1">
      <c r="A27" s="22"/>
      <c r="B27" s="38"/>
      <c r="C27" s="39"/>
      <c r="D27" s="13">
        <v>2022</v>
      </c>
      <c r="E27" s="44">
        <f>E28</f>
        <v>836.4</v>
      </c>
      <c r="F27" s="32">
        <f>F28</f>
        <v>0</v>
      </c>
      <c r="G27" s="32">
        <f>G28</f>
        <v>727.6</v>
      </c>
      <c r="H27" s="32">
        <f>H28</f>
        <v>713</v>
      </c>
      <c r="I27" s="32">
        <f>I28</f>
        <v>14.6</v>
      </c>
      <c r="J27" s="32">
        <f>J28</f>
        <v>108.8</v>
      </c>
      <c r="K27" s="32">
        <f>K28</f>
        <v>0</v>
      </c>
      <c r="L27" s="39"/>
      <c r="M27" s="43"/>
    </row>
    <row r="28" spans="1:13" s="17" customFormat="1" ht="39" customHeight="1">
      <c r="A28" s="22"/>
      <c r="B28" s="38"/>
      <c r="C28" s="30" t="s">
        <v>27</v>
      </c>
      <c r="D28" s="13">
        <v>2022</v>
      </c>
      <c r="E28" s="45">
        <f aca="true" t="shared" si="2" ref="E28:E32">F28+G28+J28+K28</f>
        <v>836.4</v>
      </c>
      <c r="F28" s="46"/>
      <c r="G28" s="47">
        <f aca="true" t="shared" si="3" ref="G28:G32">H28+I28</f>
        <v>727.6</v>
      </c>
      <c r="H28" s="33">
        <v>713</v>
      </c>
      <c r="I28" s="33">
        <v>14.6</v>
      </c>
      <c r="J28" s="33">
        <v>108.8</v>
      </c>
      <c r="K28" s="32">
        <v>0</v>
      </c>
      <c r="L28" s="34" t="s">
        <v>27</v>
      </c>
      <c r="M28" s="43"/>
    </row>
    <row r="29" spans="1:13" s="17" customFormat="1" ht="53.25" customHeight="1">
      <c r="A29" s="35"/>
      <c r="B29" s="38"/>
      <c r="C29" s="30"/>
      <c r="D29" s="13">
        <v>2023</v>
      </c>
      <c r="E29" s="31">
        <f t="shared" si="2"/>
        <v>0</v>
      </c>
      <c r="F29" s="32"/>
      <c r="G29" s="33">
        <f t="shared" si="3"/>
        <v>0</v>
      </c>
      <c r="H29" s="48">
        <v>0</v>
      </c>
      <c r="I29" s="48">
        <v>0</v>
      </c>
      <c r="J29" s="48">
        <v>0</v>
      </c>
      <c r="K29" s="49">
        <v>0</v>
      </c>
      <c r="L29" s="50"/>
      <c r="M29" s="51"/>
    </row>
    <row r="30" spans="1:13" s="17" customFormat="1" ht="39.75" customHeight="1">
      <c r="A30" s="22" t="s">
        <v>33</v>
      </c>
      <c r="B30" s="52" t="s">
        <v>34</v>
      </c>
      <c r="C30" s="53" t="s">
        <v>27</v>
      </c>
      <c r="D30" s="54">
        <v>2021</v>
      </c>
      <c r="E30" s="41">
        <f t="shared" si="2"/>
        <v>0</v>
      </c>
      <c r="F30" s="41">
        <v>0</v>
      </c>
      <c r="G30" s="41">
        <f t="shared" si="3"/>
        <v>0</v>
      </c>
      <c r="H30" s="32">
        <v>0</v>
      </c>
      <c r="I30" s="32">
        <v>0</v>
      </c>
      <c r="J30" s="32">
        <v>0</v>
      </c>
      <c r="K30" s="32">
        <v>0</v>
      </c>
      <c r="L30" s="30" t="s">
        <v>27</v>
      </c>
      <c r="M30" s="55" t="s">
        <v>35</v>
      </c>
    </row>
    <row r="31" spans="1:13" s="17" customFormat="1" ht="54.75" customHeight="1">
      <c r="A31" s="22"/>
      <c r="B31" s="52"/>
      <c r="C31" s="30" t="s">
        <v>36</v>
      </c>
      <c r="D31" s="13">
        <v>2022</v>
      </c>
      <c r="E31" s="32">
        <f t="shared" si="2"/>
        <v>0</v>
      </c>
      <c r="F31" s="32">
        <v>0</v>
      </c>
      <c r="G31" s="32">
        <f t="shared" si="3"/>
        <v>0</v>
      </c>
      <c r="H31" s="32">
        <v>0</v>
      </c>
      <c r="I31" s="32">
        <v>0</v>
      </c>
      <c r="J31" s="32">
        <v>0</v>
      </c>
      <c r="K31" s="32">
        <v>0</v>
      </c>
      <c r="L31" s="30" t="s">
        <v>36</v>
      </c>
      <c r="M31" s="55"/>
    </row>
    <row r="32" spans="1:13" s="17" customFormat="1" ht="51.75" customHeight="1">
      <c r="A32" s="22"/>
      <c r="B32" s="52"/>
      <c r="C32" s="30"/>
      <c r="D32" s="13">
        <v>2023</v>
      </c>
      <c r="E32" s="32">
        <f t="shared" si="2"/>
        <v>0</v>
      </c>
      <c r="F32" s="32"/>
      <c r="G32" s="32">
        <f t="shared" si="3"/>
        <v>0</v>
      </c>
      <c r="H32" s="32">
        <v>0</v>
      </c>
      <c r="I32" s="32">
        <v>0</v>
      </c>
      <c r="J32" s="32">
        <v>0</v>
      </c>
      <c r="K32" s="32">
        <v>0</v>
      </c>
      <c r="L32" s="30"/>
      <c r="M32" s="56"/>
    </row>
    <row r="33" spans="1:13" s="17" customFormat="1" ht="49.5" customHeight="1">
      <c r="A33" s="57" t="s">
        <v>37</v>
      </c>
      <c r="B33" s="58" t="s">
        <v>38</v>
      </c>
      <c r="C33" s="59"/>
      <c r="D33" s="60" t="s">
        <v>39</v>
      </c>
      <c r="E33" s="61">
        <f>E34+E35+E36+E37+E38+E39+E40+E41+E42</f>
        <v>3837.5</v>
      </c>
      <c r="F33" s="61">
        <f>F34+F35+F36+F37+F38+F39+F40+F41+F42</f>
        <v>0</v>
      </c>
      <c r="G33" s="61">
        <f>G34+G35+G36+G37+G38+G39+G40+G41+G42</f>
        <v>3799.1</v>
      </c>
      <c r="H33" s="61">
        <f>H34+H35+H36+H37+H38+H39+H40+H41+H42</f>
        <v>3723.1</v>
      </c>
      <c r="I33" s="61">
        <f>I34+I35+I36+I37+I38+I39+I40+I41+I42</f>
        <v>76</v>
      </c>
      <c r="J33" s="61">
        <f>J34+J35+J36+J37+J38+J39+J40+J41+J42</f>
        <v>38.4</v>
      </c>
      <c r="K33" s="61">
        <f>K34+K35+K36+K37+K38+K39+K40+K41+K42</f>
        <v>0</v>
      </c>
      <c r="L33" s="62"/>
      <c r="M33" s="63" t="s">
        <v>40</v>
      </c>
    </row>
    <row r="34" spans="1:13" s="17" customFormat="1" ht="30" customHeight="1">
      <c r="A34" s="57"/>
      <c r="B34" s="58"/>
      <c r="C34" s="64" t="s">
        <v>27</v>
      </c>
      <c r="D34" s="65" t="s">
        <v>39</v>
      </c>
      <c r="E34" s="33">
        <f aca="true" t="shared" si="4" ref="E34:E42">F34+G34+J34+K34</f>
        <v>1918.75</v>
      </c>
      <c r="F34" s="48"/>
      <c r="G34" s="33">
        <f aca="true" t="shared" si="5" ref="G34:G42">H34+I34</f>
        <v>1899.55</v>
      </c>
      <c r="H34" s="33">
        <v>1861.55</v>
      </c>
      <c r="I34" s="48">
        <v>38</v>
      </c>
      <c r="J34" s="48">
        <v>19.2</v>
      </c>
      <c r="K34" s="33">
        <v>0</v>
      </c>
      <c r="L34" s="30" t="s">
        <v>27</v>
      </c>
      <c r="M34" s="63"/>
    </row>
    <row r="35" spans="1:13" s="17" customFormat="1" ht="57.75" customHeight="1">
      <c r="A35" s="57"/>
      <c r="B35" s="58"/>
      <c r="C35" s="64" t="s">
        <v>24</v>
      </c>
      <c r="D35" s="65" t="s">
        <v>39</v>
      </c>
      <c r="E35" s="33">
        <f t="shared" si="4"/>
        <v>1918.75</v>
      </c>
      <c r="F35" s="66"/>
      <c r="G35" s="33">
        <f t="shared" si="5"/>
        <v>1899.55</v>
      </c>
      <c r="H35" s="33">
        <v>1861.55</v>
      </c>
      <c r="I35" s="48">
        <v>38</v>
      </c>
      <c r="J35" s="48">
        <v>19.2</v>
      </c>
      <c r="K35" s="48">
        <v>0</v>
      </c>
      <c r="L35" s="30" t="s">
        <v>36</v>
      </c>
      <c r="M35" s="63"/>
    </row>
    <row r="36" spans="1:13" s="17" customFormat="1" ht="172.5" customHeight="1">
      <c r="A36" s="67" t="s">
        <v>41</v>
      </c>
      <c r="B36" s="68" t="s">
        <v>42</v>
      </c>
      <c r="C36" s="64" t="s">
        <v>27</v>
      </c>
      <c r="D36" s="65" t="s">
        <v>39</v>
      </c>
      <c r="E36" s="32">
        <f t="shared" si="4"/>
        <v>0</v>
      </c>
      <c r="F36" s="61">
        <v>0</v>
      </c>
      <c r="G36" s="33">
        <f t="shared" si="5"/>
        <v>0</v>
      </c>
      <c r="H36" s="61">
        <v>0</v>
      </c>
      <c r="I36" s="61">
        <v>0</v>
      </c>
      <c r="J36" s="61">
        <v>0</v>
      </c>
      <c r="K36" s="61">
        <v>0</v>
      </c>
      <c r="L36" s="64" t="s">
        <v>27</v>
      </c>
      <c r="M36" s="63"/>
    </row>
    <row r="37" spans="1:13" s="17" customFormat="1" ht="117" customHeight="1">
      <c r="A37" s="67" t="s">
        <v>43</v>
      </c>
      <c r="B37" s="69" t="s">
        <v>44</v>
      </c>
      <c r="C37" s="64" t="s">
        <v>27</v>
      </c>
      <c r="D37" s="60" t="s">
        <v>39</v>
      </c>
      <c r="E37" s="32">
        <f t="shared" si="4"/>
        <v>0</v>
      </c>
      <c r="F37" s="61">
        <v>0</v>
      </c>
      <c r="G37" s="32">
        <f t="shared" si="5"/>
        <v>0</v>
      </c>
      <c r="H37" s="61">
        <v>0</v>
      </c>
      <c r="I37" s="61">
        <v>0</v>
      </c>
      <c r="J37" s="61">
        <v>0</v>
      </c>
      <c r="K37" s="61">
        <v>0</v>
      </c>
      <c r="L37" s="64" t="s">
        <v>27</v>
      </c>
      <c r="M37" s="63"/>
    </row>
    <row r="38" spans="1:13" s="17" customFormat="1" ht="127.5" customHeight="1">
      <c r="A38" s="67" t="s">
        <v>45</v>
      </c>
      <c r="B38" s="70" t="s">
        <v>46</v>
      </c>
      <c r="C38" s="30" t="s">
        <v>47</v>
      </c>
      <c r="D38" s="13">
        <v>2021</v>
      </c>
      <c r="E38" s="32">
        <f t="shared" si="4"/>
        <v>0</v>
      </c>
      <c r="F38" s="61">
        <v>0</v>
      </c>
      <c r="G38" s="32">
        <f t="shared" si="5"/>
        <v>0</v>
      </c>
      <c r="H38" s="32">
        <v>0</v>
      </c>
      <c r="I38" s="32">
        <v>0</v>
      </c>
      <c r="J38" s="32">
        <v>0</v>
      </c>
      <c r="K38" s="32">
        <v>0</v>
      </c>
      <c r="L38" s="64" t="s">
        <v>27</v>
      </c>
      <c r="M38" s="63"/>
    </row>
    <row r="39" spans="1:13" s="17" customFormat="1" ht="187.5" customHeight="1">
      <c r="A39" s="67" t="s">
        <v>48</v>
      </c>
      <c r="B39" s="71" t="s">
        <v>49</v>
      </c>
      <c r="C39" s="30" t="s">
        <v>27</v>
      </c>
      <c r="D39" s="13">
        <v>2021</v>
      </c>
      <c r="E39" s="32">
        <f t="shared" si="4"/>
        <v>0</v>
      </c>
      <c r="F39" s="61"/>
      <c r="G39" s="32">
        <f t="shared" si="5"/>
        <v>0</v>
      </c>
      <c r="H39" s="32">
        <v>0</v>
      </c>
      <c r="I39" s="32">
        <v>0</v>
      </c>
      <c r="J39" s="32">
        <v>0</v>
      </c>
      <c r="K39" s="32">
        <v>0</v>
      </c>
      <c r="L39" s="64" t="s">
        <v>27</v>
      </c>
      <c r="M39" s="63"/>
    </row>
    <row r="40" spans="1:13" s="17" customFormat="1" ht="133.5" customHeight="1">
      <c r="A40" s="67" t="s">
        <v>50</v>
      </c>
      <c r="B40" s="71" t="s">
        <v>51</v>
      </c>
      <c r="C40" s="30" t="s">
        <v>27</v>
      </c>
      <c r="D40" s="13">
        <v>2021</v>
      </c>
      <c r="E40" s="32">
        <f t="shared" si="4"/>
        <v>0</v>
      </c>
      <c r="F40" s="61"/>
      <c r="G40" s="32">
        <f t="shared" si="5"/>
        <v>0</v>
      </c>
      <c r="H40" s="32">
        <v>0</v>
      </c>
      <c r="I40" s="32">
        <v>0</v>
      </c>
      <c r="J40" s="32">
        <v>0</v>
      </c>
      <c r="K40" s="32">
        <v>0</v>
      </c>
      <c r="L40" s="15"/>
      <c r="M40" s="63"/>
    </row>
    <row r="41" spans="1:13" s="17" customFormat="1" ht="159" customHeight="1">
      <c r="A41" s="67" t="s">
        <v>52</v>
      </c>
      <c r="B41" s="70" t="s">
        <v>53</v>
      </c>
      <c r="C41" s="30" t="s">
        <v>27</v>
      </c>
      <c r="D41" s="13">
        <v>2021</v>
      </c>
      <c r="E41" s="32">
        <f t="shared" si="4"/>
        <v>0</v>
      </c>
      <c r="F41" s="61"/>
      <c r="G41" s="32">
        <f t="shared" si="5"/>
        <v>0</v>
      </c>
      <c r="H41" s="32">
        <v>0</v>
      </c>
      <c r="I41" s="32">
        <v>0</v>
      </c>
      <c r="J41" s="32">
        <v>0</v>
      </c>
      <c r="K41" s="32">
        <v>0</v>
      </c>
      <c r="L41" s="64" t="s">
        <v>27</v>
      </c>
      <c r="M41" s="63"/>
    </row>
    <row r="42" spans="1:13" s="17" customFormat="1" ht="223.5" customHeight="1">
      <c r="A42" s="67" t="s">
        <v>54</v>
      </c>
      <c r="B42" s="71" t="s">
        <v>55</v>
      </c>
      <c r="C42" s="30" t="s">
        <v>27</v>
      </c>
      <c r="D42" s="13">
        <v>2021</v>
      </c>
      <c r="E42" s="32">
        <f t="shared" si="4"/>
        <v>0</v>
      </c>
      <c r="F42" s="72"/>
      <c r="G42" s="32">
        <f t="shared" si="5"/>
        <v>0</v>
      </c>
      <c r="H42" s="32">
        <v>0</v>
      </c>
      <c r="I42" s="32">
        <v>0</v>
      </c>
      <c r="J42" s="32">
        <v>0</v>
      </c>
      <c r="K42" s="32">
        <v>0</v>
      </c>
      <c r="L42" s="64" t="s">
        <v>27</v>
      </c>
      <c r="M42" s="63"/>
    </row>
    <row r="43" spans="1:13" s="75" customFormat="1" ht="67.5" customHeight="1">
      <c r="A43" s="22" t="s">
        <v>56</v>
      </c>
      <c r="B43" s="73" t="s">
        <v>57</v>
      </c>
      <c r="C43" s="13"/>
      <c r="D43" s="13">
        <v>2021</v>
      </c>
      <c r="E43" s="32">
        <f>E44</f>
        <v>0</v>
      </c>
      <c r="F43" s="32">
        <f>F44</f>
        <v>0</v>
      </c>
      <c r="G43" s="32">
        <f>G44</f>
        <v>0</v>
      </c>
      <c r="H43" s="32">
        <f>H44</f>
        <v>0</v>
      </c>
      <c r="I43" s="32">
        <f>I44</f>
        <v>0</v>
      </c>
      <c r="J43" s="32">
        <f>J44</f>
        <v>0</v>
      </c>
      <c r="K43" s="32">
        <f>K44</f>
        <v>0</v>
      </c>
      <c r="L43" s="13"/>
      <c r="M43" s="74"/>
    </row>
    <row r="44" spans="1:13" s="75" customFormat="1" ht="90.75" customHeight="1">
      <c r="A44" s="22"/>
      <c r="B44" s="73"/>
      <c r="C44" s="30" t="s">
        <v>58</v>
      </c>
      <c r="D44" s="30">
        <v>2021</v>
      </c>
      <c r="E44" s="33">
        <f>F44+G44+J44+K44</f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13"/>
      <c r="M44" s="74"/>
    </row>
    <row r="45" spans="1:13" s="17" customFormat="1" ht="20.25" customHeight="1">
      <c r="A45" s="14"/>
      <c r="B45" s="13" t="s">
        <v>59</v>
      </c>
      <c r="C45" s="15"/>
      <c r="D45" s="15">
        <v>2020</v>
      </c>
      <c r="E45" s="76">
        <f>E15</f>
        <v>1128.3</v>
      </c>
      <c r="F45" s="76">
        <f>F15</f>
        <v>0</v>
      </c>
      <c r="G45" s="76">
        <f>G15</f>
        <v>1117</v>
      </c>
      <c r="H45" s="76">
        <f>H15</f>
        <v>1094.7</v>
      </c>
      <c r="I45" s="76">
        <f>I15</f>
        <v>22.3</v>
      </c>
      <c r="J45" s="76">
        <f>J15</f>
        <v>11.299999999999997</v>
      </c>
      <c r="K45" s="76">
        <f>K15</f>
        <v>0</v>
      </c>
      <c r="L45" s="15"/>
      <c r="M45" s="16"/>
    </row>
    <row r="46" spans="1:13" s="17" customFormat="1" ht="20.25" customHeight="1">
      <c r="A46" s="14"/>
      <c r="B46" s="13"/>
      <c r="C46" s="15"/>
      <c r="D46" s="15">
        <v>2021</v>
      </c>
      <c r="E46" s="76">
        <f>E25+E30+E33+E43+E16</f>
        <v>6841.74</v>
      </c>
      <c r="F46" s="76">
        <f>F25+F30+F33+F43+F16</f>
        <v>0</v>
      </c>
      <c r="G46" s="76">
        <f>G25+G30+G33+G43+G16</f>
        <v>6662.9</v>
      </c>
      <c r="H46" s="76">
        <f>H25+H30+H33+H43+H16</f>
        <v>6570.9</v>
      </c>
      <c r="I46" s="76">
        <f>I25+I30+I33+I43+I16</f>
        <v>92</v>
      </c>
      <c r="J46" s="76">
        <f>J25+J30+J33+J43+J16</f>
        <v>178.84</v>
      </c>
      <c r="K46" s="76">
        <f>K25+K30+K33+K43+K16</f>
        <v>0</v>
      </c>
      <c r="L46" s="15"/>
      <c r="M46" s="16"/>
    </row>
    <row r="47" spans="1:13" s="17" customFormat="1" ht="20.25" customHeight="1">
      <c r="A47" s="14"/>
      <c r="B47" s="13"/>
      <c r="C47" s="15"/>
      <c r="D47" s="15">
        <v>2022</v>
      </c>
      <c r="E47" s="76">
        <f>E27+E31</f>
        <v>836.4</v>
      </c>
      <c r="F47" s="76">
        <f>F27+F31</f>
        <v>0</v>
      </c>
      <c r="G47" s="76">
        <f>G27+G31</f>
        <v>727.6</v>
      </c>
      <c r="H47" s="76">
        <f>H27+H31</f>
        <v>713</v>
      </c>
      <c r="I47" s="76">
        <f>I27+I31</f>
        <v>14.6</v>
      </c>
      <c r="J47" s="76">
        <f>J27+J31</f>
        <v>108.8</v>
      </c>
      <c r="K47" s="76">
        <f>K27+K31</f>
        <v>0</v>
      </c>
      <c r="L47" s="15"/>
      <c r="M47" s="16"/>
    </row>
    <row r="48" spans="1:13" s="17" customFormat="1" ht="20.25" customHeight="1">
      <c r="A48" s="14"/>
      <c r="B48" s="13"/>
      <c r="C48" s="15"/>
      <c r="D48" s="15">
        <v>2023</v>
      </c>
      <c r="E48" s="76">
        <f>F48+G48+J48+K48</f>
        <v>0</v>
      </c>
      <c r="F48" s="76">
        <v>0</v>
      </c>
      <c r="G48" s="76">
        <f>H48+I48</f>
        <v>0</v>
      </c>
      <c r="H48" s="76">
        <v>0</v>
      </c>
      <c r="I48" s="76">
        <v>0</v>
      </c>
      <c r="J48" s="76">
        <v>0</v>
      </c>
      <c r="K48" s="76">
        <v>0</v>
      </c>
      <c r="L48" s="15"/>
      <c r="M48" s="16"/>
    </row>
    <row r="49" spans="1:13" s="17" customFormat="1" ht="25.5" customHeight="1">
      <c r="A49" s="14"/>
      <c r="B49" s="15" t="s">
        <v>60</v>
      </c>
      <c r="C49" s="15"/>
      <c r="D49" s="15"/>
      <c r="E49" s="76">
        <f>E45+E46+E47+E48</f>
        <v>8806.44</v>
      </c>
      <c r="F49" s="76">
        <f>F45+F46+F47+F48</f>
        <v>0</v>
      </c>
      <c r="G49" s="76">
        <f>G45+G46+G47+G48</f>
        <v>8507.5</v>
      </c>
      <c r="H49" s="76">
        <f>H45+H46+H47+H48</f>
        <v>8378.599999999999</v>
      </c>
      <c r="I49" s="76">
        <f>I45+I46+I47+I48</f>
        <v>128.9</v>
      </c>
      <c r="J49" s="76">
        <f>J45+J46+J47+J48</f>
        <v>298.94</v>
      </c>
      <c r="K49" s="76">
        <f>K45+K46+K47+K48</f>
        <v>0</v>
      </c>
      <c r="L49" s="15"/>
      <c r="M49" s="16"/>
    </row>
    <row r="50" spans="1:13" ht="27.75" customHeight="1">
      <c r="A50" s="77" t="s">
        <v>61</v>
      </c>
      <c r="B50" s="78" t="s">
        <v>62</v>
      </c>
      <c r="C50" s="78"/>
      <c r="D50" s="13">
        <v>2017</v>
      </c>
      <c r="E50" s="32">
        <f>F50+G50+J50+K50</f>
        <v>0</v>
      </c>
      <c r="F50" s="32"/>
      <c r="G50" s="79">
        <f>H50+I50</f>
        <v>0</v>
      </c>
      <c r="H50" s="33"/>
      <c r="I50" s="33">
        <v>0</v>
      </c>
      <c r="J50" s="33">
        <v>0</v>
      </c>
      <c r="K50" s="80"/>
      <c r="L50" s="81" t="s">
        <v>63</v>
      </c>
      <c r="M50" s="82" t="s">
        <v>64</v>
      </c>
    </row>
    <row r="51" spans="1:13" ht="23.25" customHeight="1">
      <c r="A51" s="77"/>
      <c r="B51" s="78"/>
      <c r="C51" s="78"/>
      <c r="D51" s="13"/>
      <c r="E51" s="32"/>
      <c r="F51" s="32"/>
      <c r="G51" s="79"/>
      <c r="H51" s="33"/>
      <c r="I51" s="33"/>
      <c r="J51" s="33"/>
      <c r="K51" s="80"/>
      <c r="L51" s="81"/>
      <c r="M51" s="82"/>
    </row>
    <row r="52" spans="1:13" ht="30" customHeight="1">
      <c r="A52" s="77"/>
      <c r="B52" s="78"/>
      <c r="C52" s="78"/>
      <c r="D52" s="13">
        <v>2018</v>
      </c>
      <c r="E52" s="32">
        <f aca="true" t="shared" si="6" ref="E52:E55">F52+G52+J52+K52</f>
        <v>0</v>
      </c>
      <c r="F52" s="32"/>
      <c r="G52" s="83">
        <f aca="true" t="shared" si="7" ref="G52:G55">H52+I52</f>
        <v>0</v>
      </c>
      <c r="H52" s="80"/>
      <c r="I52" s="80">
        <v>0</v>
      </c>
      <c r="J52" s="80">
        <v>0</v>
      </c>
      <c r="K52" s="84"/>
      <c r="L52" s="85" t="s">
        <v>63</v>
      </c>
      <c r="M52" s="82"/>
    </row>
    <row r="53" spans="1:13" ht="27.75" customHeight="1">
      <c r="A53" s="77"/>
      <c r="B53" s="78"/>
      <c r="C53" s="78"/>
      <c r="D53" s="13">
        <v>2019</v>
      </c>
      <c r="E53" s="32">
        <f t="shared" si="6"/>
        <v>0</v>
      </c>
      <c r="F53" s="83"/>
      <c r="G53" s="83">
        <f t="shared" si="7"/>
        <v>0</v>
      </c>
      <c r="H53" s="83"/>
      <c r="I53" s="80">
        <v>0</v>
      </c>
      <c r="J53" s="80">
        <v>0</v>
      </c>
      <c r="K53" s="84"/>
      <c r="L53" s="85" t="s">
        <v>63</v>
      </c>
      <c r="M53" s="82"/>
    </row>
    <row r="54" spans="1:13" ht="30" customHeight="1">
      <c r="A54" s="77"/>
      <c r="B54" s="78"/>
      <c r="C54" s="78"/>
      <c r="D54" s="13">
        <v>2020</v>
      </c>
      <c r="E54" s="32">
        <f t="shared" si="6"/>
        <v>78.89038</v>
      </c>
      <c r="F54" s="32"/>
      <c r="G54" s="83">
        <f t="shared" si="7"/>
        <v>0</v>
      </c>
      <c r="H54" s="83"/>
      <c r="I54" s="80">
        <v>0</v>
      </c>
      <c r="J54" s="80">
        <f>63.89+15.00038</f>
        <v>78.89038</v>
      </c>
      <c r="K54" s="80"/>
      <c r="L54" s="81" t="s">
        <v>63</v>
      </c>
      <c r="M54" s="82"/>
    </row>
    <row r="55" spans="1:13" ht="30" customHeight="1">
      <c r="A55" s="77"/>
      <c r="B55" s="78"/>
      <c r="C55" s="78"/>
      <c r="D55" s="13">
        <v>2021</v>
      </c>
      <c r="E55" s="32">
        <f t="shared" si="6"/>
        <v>0</v>
      </c>
      <c r="F55" s="32"/>
      <c r="G55" s="83">
        <f t="shared" si="7"/>
        <v>0</v>
      </c>
      <c r="H55" s="83"/>
      <c r="I55" s="80">
        <v>0</v>
      </c>
      <c r="J55" s="80">
        <v>0</v>
      </c>
      <c r="K55" s="80"/>
      <c r="L55" s="81" t="s">
        <v>63</v>
      </c>
      <c r="M55" s="82"/>
    </row>
    <row r="56" spans="1:13" ht="33.75" customHeight="1">
      <c r="A56" s="77"/>
      <c r="B56" s="78"/>
      <c r="C56" s="78"/>
      <c r="D56" s="13">
        <v>2023</v>
      </c>
      <c r="E56" s="32">
        <v>0</v>
      </c>
      <c r="F56" s="32">
        <v>0</v>
      </c>
      <c r="G56" s="32">
        <v>0</v>
      </c>
      <c r="H56" s="32">
        <v>0</v>
      </c>
      <c r="I56" s="33">
        <v>0</v>
      </c>
      <c r="J56" s="33">
        <v>0</v>
      </c>
      <c r="K56" s="33">
        <v>0</v>
      </c>
      <c r="L56" s="81" t="s">
        <v>63</v>
      </c>
      <c r="M56" s="82"/>
    </row>
    <row r="57" spans="1:13" ht="33.75" customHeight="1">
      <c r="A57" s="86" t="s">
        <v>65</v>
      </c>
      <c r="B57" s="87" t="s">
        <v>66</v>
      </c>
      <c r="C57" s="87"/>
      <c r="D57" s="13">
        <v>2017</v>
      </c>
      <c r="E57" s="32">
        <f aca="true" t="shared" si="8" ref="E57:E58">E65</f>
        <v>155.5623</v>
      </c>
      <c r="F57" s="32">
        <f aca="true" t="shared" si="9" ref="F57:F58">F65</f>
        <v>0</v>
      </c>
      <c r="G57" s="32">
        <f aca="true" t="shared" si="10" ref="G57:G58">G65</f>
        <v>0</v>
      </c>
      <c r="H57" s="32">
        <f aca="true" t="shared" si="11" ref="H57:H58">H65</f>
        <v>0</v>
      </c>
      <c r="I57" s="32">
        <f aca="true" t="shared" si="12" ref="I57:I58">I65</f>
        <v>0</v>
      </c>
      <c r="J57" s="32">
        <f aca="true" t="shared" si="13" ref="J57:J58">J65</f>
        <v>155.5623</v>
      </c>
      <c r="K57" s="32">
        <f aca="true" t="shared" si="14" ref="K57:K58">K65</f>
        <v>0</v>
      </c>
      <c r="L57" s="88"/>
      <c r="M57" s="89"/>
    </row>
    <row r="58" spans="1:13" ht="33" customHeight="1">
      <c r="A58" s="90"/>
      <c r="B58" s="87"/>
      <c r="C58" s="87"/>
      <c r="D58" s="13">
        <v>2018</v>
      </c>
      <c r="E58" s="32">
        <f t="shared" si="8"/>
        <v>394.40002999999996</v>
      </c>
      <c r="F58" s="32">
        <f t="shared" si="9"/>
        <v>0</v>
      </c>
      <c r="G58" s="32">
        <f t="shared" si="10"/>
        <v>0</v>
      </c>
      <c r="H58" s="32">
        <f t="shared" si="11"/>
        <v>0</v>
      </c>
      <c r="I58" s="32">
        <f t="shared" si="12"/>
        <v>0</v>
      </c>
      <c r="J58" s="32">
        <f t="shared" si="13"/>
        <v>394.40002999999996</v>
      </c>
      <c r="K58" s="32">
        <f t="shared" si="14"/>
        <v>0</v>
      </c>
      <c r="L58" s="88"/>
      <c r="M58" s="89"/>
    </row>
    <row r="59" spans="1:13" ht="39" customHeight="1">
      <c r="A59" s="90"/>
      <c r="B59" s="87"/>
      <c r="C59" s="87"/>
      <c r="D59" s="13">
        <v>2019</v>
      </c>
      <c r="E59" s="32">
        <f aca="true" t="shared" si="15" ref="E59:E60">E67+E73+E75</f>
        <v>236.87999999999997</v>
      </c>
      <c r="F59" s="32">
        <f aca="true" t="shared" si="16" ref="F59:F60">F67+F73+F75</f>
        <v>0</v>
      </c>
      <c r="G59" s="32">
        <f aca="true" t="shared" si="17" ref="G59:G60">G67+G73+G75</f>
        <v>0</v>
      </c>
      <c r="H59" s="32">
        <f aca="true" t="shared" si="18" ref="H59:H60">H67+H73+H75</f>
        <v>0</v>
      </c>
      <c r="I59" s="32">
        <f aca="true" t="shared" si="19" ref="I59:I60">I67+I73+I75</f>
        <v>0</v>
      </c>
      <c r="J59" s="32">
        <f aca="true" t="shared" si="20" ref="J59:J60">J67+J73+J75</f>
        <v>236.87999999999997</v>
      </c>
      <c r="K59" s="32">
        <f aca="true" t="shared" si="21" ref="K59:K60">K67+K73+K75</f>
        <v>0</v>
      </c>
      <c r="L59" s="88"/>
      <c r="M59" s="89"/>
    </row>
    <row r="60" spans="1:13" ht="33" customHeight="1">
      <c r="A60" s="90"/>
      <c r="B60" s="87"/>
      <c r="C60" s="87"/>
      <c r="D60" s="13">
        <v>2020</v>
      </c>
      <c r="E60" s="32">
        <f t="shared" si="15"/>
        <v>156.84791999999996</v>
      </c>
      <c r="F60" s="32">
        <f t="shared" si="16"/>
        <v>0</v>
      </c>
      <c r="G60" s="32">
        <f t="shared" si="17"/>
        <v>0</v>
      </c>
      <c r="H60" s="32">
        <f t="shared" si="18"/>
        <v>0</v>
      </c>
      <c r="I60" s="32">
        <f t="shared" si="19"/>
        <v>0</v>
      </c>
      <c r="J60" s="32">
        <f t="shared" si="20"/>
        <v>156.84791999999996</v>
      </c>
      <c r="K60" s="32">
        <f t="shared" si="21"/>
        <v>0</v>
      </c>
      <c r="L60" s="88"/>
      <c r="M60" s="89"/>
    </row>
    <row r="61" spans="1:13" ht="33" customHeight="1">
      <c r="A61" s="90"/>
      <c r="B61" s="87"/>
      <c r="C61" s="87"/>
      <c r="D61" s="13">
        <v>2021</v>
      </c>
      <c r="E61" s="32">
        <f aca="true" t="shared" si="22" ref="E61:E63">E69+E77</f>
        <v>510.9295499999999</v>
      </c>
      <c r="F61" s="32">
        <f aca="true" t="shared" si="23" ref="F61:F63">F69</f>
        <v>0</v>
      </c>
      <c r="G61" s="32">
        <f aca="true" t="shared" si="24" ref="G61:G63">G69</f>
        <v>15</v>
      </c>
      <c r="H61" s="32">
        <f aca="true" t="shared" si="25" ref="H61:H63">H69</f>
        <v>0</v>
      </c>
      <c r="I61" s="32">
        <f aca="true" t="shared" si="26" ref="I61:I63">I69</f>
        <v>15</v>
      </c>
      <c r="J61" s="32">
        <f aca="true" t="shared" si="27" ref="J61:J62">J69+J77</f>
        <v>495.9295499999999</v>
      </c>
      <c r="K61" s="32">
        <f aca="true" t="shared" si="28" ref="K61:K63">K69</f>
        <v>0</v>
      </c>
      <c r="L61" s="88"/>
      <c r="M61" s="89"/>
    </row>
    <row r="62" spans="1:13" ht="30" customHeight="1">
      <c r="A62" s="90"/>
      <c r="B62" s="87"/>
      <c r="C62" s="87"/>
      <c r="D62" s="13">
        <v>2022</v>
      </c>
      <c r="E62" s="32">
        <f t="shared" si="22"/>
        <v>289.31264</v>
      </c>
      <c r="F62" s="32">
        <f t="shared" si="23"/>
        <v>0</v>
      </c>
      <c r="G62" s="32">
        <f t="shared" si="24"/>
        <v>0</v>
      </c>
      <c r="H62" s="32">
        <f t="shared" si="25"/>
        <v>0</v>
      </c>
      <c r="I62" s="32">
        <f t="shared" si="26"/>
        <v>0</v>
      </c>
      <c r="J62" s="32">
        <f t="shared" si="27"/>
        <v>289.31264</v>
      </c>
      <c r="K62" s="32">
        <f t="shared" si="28"/>
        <v>0</v>
      </c>
      <c r="L62" s="88"/>
      <c r="M62" s="89"/>
    </row>
    <row r="63" spans="1:13" ht="30" customHeight="1">
      <c r="A63" s="91"/>
      <c r="B63" s="87"/>
      <c r="C63" s="87"/>
      <c r="D63" s="13">
        <v>2023</v>
      </c>
      <c r="E63" s="32">
        <f t="shared" si="22"/>
        <v>178.632</v>
      </c>
      <c r="F63" s="32">
        <f t="shared" si="23"/>
        <v>0</v>
      </c>
      <c r="G63" s="32">
        <f t="shared" si="24"/>
        <v>0</v>
      </c>
      <c r="H63" s="32">
        <f t="shared" si="25"/>
        <v>0</v>
      </c>
      <c r="I63" s="32">
        <f t="shared" si="26"/>
        <v>0</v>
      </c>
      <c r="J63" s="32">
        <f aca="true" t="shared" si="29" ref="J63:J64">J71</f>
        <v>178.632</v>
      </c>
      <c r="K63" s="32">
        <f t="shared" si="28"/>
        <v>0</v>
      </c>
      <c r="L63" s="88"/>
      <c r="M63" s="89"/>
    </row>
    <row r="64" spans="1:13" ht="30" customHeight="1">
      <c r="A64" s="92"/>
      <c r="B64" s="87"/>
      <c r="C64" s="87"/>
      <c r="D64" s="13">
        <v>2024</v>
      </c>
      <c r="E64" s="32">
        <f>E72</f>
        <v>200</v>
      </c>
      <c r="F64" s="32">
        <f>F73</f>
        <v>0</v>
      </c>
      <c r="G64" s="32">
        <f>G73</f>
        <v>0</v>
      </c>
      <c r="H64" s="32">
        <f>H73</f>
        <v>0</v>
      </c>
      <c r="I64" s="32">
        <f>I73</f>
        <v>0</v>
      </c>
      <c r="J64" s="32">
        <f t="shared" si="29"/>
        <v>200</v>
      </c>
      <c r="K64" s="32">
        <f>K73</f>
        <v>0</v>
      </c>
      <c r="L64" s="88"/>
      <c r="M64" s="89"/>
    </row>
    <row r="65" spans="1:13" ht="55.5" customHeight="1">
      <c r="A65" s="93" t="s">
        <v>67</v>
      </c>
      <c r="B65" s="94" t="s">
        <v>68</v>
      </c>
      <c r="C65" s="94"/>
      <c r="D65" s="30">
        <v>2017</v>
      </c>
      <c r="E65" s="33">
        <f aca="true" t="shared" si="30" ref="E65:E79">F65+I65+J65+K65</f>
        <v>155.5623</v>
      </c>
      <c r="F65" s="33"/>
      <c r="G65" s="33">
        <f aca="true" t="shared" si="31" ref="G65:G87">H65+I65</f>
        <v>0</v>
      </c>
      <c r="H65" s="95"/>
      <c r="I65" s="33">
        <v>0</v>
      </c>
      <c r="J65" s="33">
        <f>40+68.197-39.45+0.42+51.795+4.6003+30</f>
        <v>155.5623</v>
      </c>
      <c r="K65" s="95"/>
      <c r="L65" s="81" t="s">
        <v>69</v>
      </c>
      <c r="M65" s="82" t="s">
        <v>70</v>
      </c>
    </row>
    <row r="66" spans="1:13" ht="63.75" customHeight="1">
      <c r="A66" s="93"/>
      <c r="B66" s="94"/>
      <c r="C66" s="94"/>
      <c r="D66" s="30">
        <v>2018</v>
      </c>
      <c r="E66" s="33">
        <f t="shared" si="30"/>
        <v>394.40002999999996</v>
      </c>
      <c r="F66" s="33"/>
      <c r="G66" s="33">
        <f t="shared" si="31"/>
        <v>0</v>
      </c>
      <c r="H66" s="95"/>
      <c r="I66" s="33">
        <v>0</v>
      </c>
      <c r="J66" s="33">
        <f>325-70-60+150-5.5-9.25-8.1+41.63+30.62003</f>
        <v>394.40002999999996</v>
      </c>
      <c r="K66" s="95"/>
      <c r="L66" s="81" t="s">
        <v>71</v>
      </c>
      <c r="M66" s="82"/>
    </row>
    <row r="67" spans="1:13" ht="50.25" customHeight="1">
      <c r="A67" s="93"/>
      <c r="B67" s="94"/>
      <c r="C67" s="94"/>
      <c r="D67" s="30">
        <v>2019</v>
      </c>
      <c r="E67" s="33">
        <f t="shared" si="30"/>
        <v>194.37999999999997</v>
      </c>
      <c r="F67" s="33"/>
      <c r="G67" s="33">
        <f t="shared" si="31"/>
        <v>0</v>
      </c>
      <c r="H67" s="95"/>
      <c r="I67" s="33">
        <v>0</v>
      </c>
      <c r="J67" s="33">
        <f>363.78-1.1-12.25-15.357-19-61.293-19-42.5+1.1</f>
        <v>194.37999999999997</v>
      </c>
      <c r="K67" s="95"/>
      <c r="L67" s="81" t="s">
        <v>72</v>
      </c>
      <c r="M67" s="82"/>
    </row>
    <row r="68" spans="1:13" ht="45" customHeight="1">
      <c r="A68" s="93"/>
      <c r="B68" s="94"/>
      <c r="C68" s="94"/>
      <c r="D68" s="30">
        <v>2020</v>
      </c>
      <c r="E68" s="33">
        <f t="shared" si="30"/>
        <v>113.44791999999995</v>
      </c>
      <c r="F68" s="33"/>
      <c r="G68" s="33">
        <f t="shared" si="31"/>
        <v>0</v>
      </c>
      <c r="H68" s="95"/>
      <c r="I68" s="33">
        <v>0</v>
      </c>
      <c r="J68" s="33">
        <f>276.53-9.9657-43.4-1.781-40-4.2-3-13.2+26.355-63.89-10.00038</f>
        <v>113.44791999999995</v>
      </c>
      <c r="K68" s="95"/>
      <c r="L68" s="78" t="s">
        <v>72</v>
      </c>
      <c r="M68" s="82"/>
    </row>
    <row r="69" spans="1:13" ht="50.25" customHeight="1">
      <c r="A69" s="93"/>
      <c r="B69" s="94"/>
      <c r="C69" s="94"/>
      <c r="D69" s="30">
        <v>2021</v>
      </c>
      <c r="E69" s="33">
        <f t="shared" si="30"/>
        <v>467.1295499999999</v>
      </c>
      <c r="F69" s="33"/>
      <c r="G69" s="33">
        <f t="shared" si="31"/>
        <v>15</v>
      </c>
      <c r="H69" s="95"/>
      <c r="I69" s="33">
        <v>15</v>
      </c>
      <c r="J69" s="33">
        <f>527.87605+2.935-70.84-7.8415</f>
        <v>452.1295499999999</v>
      </c>
      <c r="K69" s="95"/>
      <c r="L69" s="78" t="s">
        <v>63</v>
      </c>
      <c r="M69" s="82"/>
    </row>
    <row r="70" spans="1:13" ht="51" customHeight="1">
      <c r="A70" s="93"/>
      <c r="B70" s="94"/>
      <c r="C70" s="94"/>
      <c r="D70" s="30">
        <v>2022</v>
      </c>
      <c r="E70" s="33">
        <f t="shared" si="30"/>
        <v>289.31264</v>
      </c>
      <c r="F70" s="33"/>
      <c r="G70" s="33">
        <f t="shared" si="31"/>
        <v>0</v>
      </c>
      <c r="H70" s="95"/>
      <c r="I70" s="33">
        <v>0</v>
      </c>
      <c r="J70" s="33">
        <v>289.31264</v>
      </c>
      <c r="K70" s="95"/>
      <c r="L70" s="78" t="s">
        <v>72</v>
      </c>
      <c r="M70" s="82"/>
    </row>
    <row r="71" spans="1:13" ht="33" customHeight="1">
      <c r="A71" s="93"/>
      <c r="B71" s="94"/>
      <c r="C71" s="94"/>
      <c r="D71" s="30">
        <v>2023</v>
      </c>
      <c r="E71" s="33">
        <f t="shared" si="30"/>
        <v>178.632</v>
      </c>
      <c r="F71" s="33"/>
      <c r="G71" s="33">
        <f t="shared" si="31"/>
        <v>0</v>
      </c>
      <c r="H71" s="95"/>
      <c r="I71" s="33">
        <v>0</v>
      </c>
      <c r="J71" s="33">
        <v>178.632</v>
      </c>
      <c r="K71" s="95"/>
      <c r="L71" s="78"/>
      <c r="M71" s="82"/>
    </row>
    <row r="72" spans="1:13" ht="33" customHeight="1">
      <c r="A72" s="93"/>
      <c r="B72" s="94"/>
      <c r="C72" s="94"/>
      <c r="D72" s="30">
        <v>2024</v>
      </c>
      <c r="E72" s="33">
        <f t="shared" si="30"/>
        <v>200</v>
      </c>
      <c r="F72" s="33"/>
      <c r="G72" s="33">
        <f t="shared" si="31"/>
        <v>0</v>
      </c>
      <c r="H72" s="95"/>
      <c r="I72" s="33">
        <v>0</v>
      </c>
      <c r="J72" s="33">
        <v>200</v>
      </c>
      <c r="K72" s="95"/>
      <c r="L72" s="78"/>
      <c r="M72" s="82"/>
    </row>
    <row r="73" spans="1:13" ht="35.25" customHeight="1">
      <c r="A73" s="77" t="s">
        <v>73</v>
      </c>
      <c r="B73" s="96" t="s">
        <v>74</v>
      </c>
      <c r="C73" s="96"/>
      <c r="D73" s="30">
        <v>2019</v>
      </c>
      <c r="E73" s="33">
        <f t="shared" si="30"/>
        <v>0</v>
      </c>
      <c r="F73" s="33"/>
      <c r="G73" s="33">
        <f t="shared" si="31"/>
        <v>0</v>
      </c>
      <c r="H73" s="95"/>
      <c r="I73" s="33">
        <v>0</v>
      </c>
      <c r="J73" s="33">
        <v>0</v>
      </c>
      <c r="K73" s="95"/>
      <c r="L73" s="78"/>
      <c r="M73" s="82"/>
    </row>
    <row r="74" spans="1:13" ht="39" customHeight="1">
      <c r="A74" s="77"/>
      <c r="B74" s="96"/>
      <c r="C74" s="96"/>
      <c r="D74" s="30">
        <v>2020</v>
      </c>
      <c r="E74" s="33">
        <f t="shared" si="30"/>
        <v>0</v>
      </c>
      <c r="F74" s="33"/>
      <c r="G74" s="33">
        <f t="shared" si="31"/>
        <v>0</v>
      </c>
      <c r="H74" s="95"/>
      <c r="I74" s="33">
        <v>0</v>
      </c>
      <c r="J74" s="33">
        <v>0</v>
      </c>
      <c r="K74" s="95"/>
      <c r="L74" s="78"/>
      <c r="M74" s="82"/>
    </row>
    <row r="75" spans="1:13" ht="24.75" customHeight="1">
      <c r="A75" s="77" t="s">
        <v>75</v>
      </c>
      <c r="B75" s="96" t="s">
        <v>76</v>
      </c>
      <c r="C75" s="96"/>
      <c r="D75" s="30">
        <v>2019</v>
      </c>
      <c r="E75" s="33">
        <f t="shared" si="30"/>
        <v>42.5</v>
      </c>
      <c r="F75" s="33"/>
      <c r="G75" s="33">
        <f t="shared" si="31"/>
        <v>0</v>
      </c>
      <c r="H75" s="95"/>
      <c r="I75" s="33"/>
      <c r="J75" s="33">
        <v>42.5</v>
      </c>
      <c r="K75" s="95"/>
      <c r="L75" s="78" t="s">
        <v>77</v>
      </c>
      <c r="M75" s="82"/>
    </row>
    <row r="76" spans="1:13" ht="24.75" customHeight="1">
      <c r="A76" s="77"/>
      <c r="B76" s="96"/>
      <c r="C76" s="96"/>
      <c r="D76" s="30">
        <v>2020</v>
      </c>
      <c r="E76" s="33">
        <f t="shared" si="30"/>
        <v>43.4</v>
      </c>
      <c r="F76" s="33"/>
      <c r="G76" s="33">
        <f t="shared" si="31"/>
        <v>0</v>
      </c>
      <c r="H76" s="95"/>
      <c r="I76" s="33"/>
      <c r="J76" s="33">
        <v>43.4</v>
      </c>
      <c r="K76" s="95"/>
      <c r="L76" s="78" t="s">
        <v>77</v>
      </c>
      <c r="M76" s="82"/>
    </row>
    <row r="77" spans="1:13" ht="24.75" customHeight="1">
      <c r="A77" s="77"/>
      <c r="B77" s="96"/>
      <c r="C77" s="96"/>
      <c r="D77" s="30">
        <v>2021</v>
      </c>
      <c r="E77" s="33">
        <f t="shared" si="30"/>
        <v>43.8</v>
      </c>
      <c r="F77" s="33"/>
      <c r="G77" s="33">
        <f t="shared" si="31"/>
        <v>0</v>
      </c>
      <c r="H77" s="95"/>
      <c r="I77" s="33"/>
      <c r="J77" s="33">
        <v>43.8</v>
      </c>
      <c r="K77" s="95"/>
      <c r="L77" s="78"/>
      <c r="M77" s="82"/>
    </row>
    <row r="78" spans="1:13" ht="24.75" customHeight="1">
      <c r="A78" s="77"/>
      <c r="B78" s="96"/>
      <c r="C78" s="96"/>
      <c r="D78" s="30">
        <v>2022</v>
      </c>
      <c r="E78" s="33">
        <f t="shared" si="30"/>
        <v>0</v>
      </c>
      <c r="F78" s="33"/>
      <c r="G78" s="33">
        <f t="shared" si="31"/>
        <v>0</v>
      </c>
      <c r="H78" s="95"/>
      <c r="I78" s="33"/>
      <c r="J78" s="33">
        <v>0</v>
      </c>
      <c r="K78" s="95"/>
      <c r="L78" s="78"/>
      <c r="M78" s="82"/>
    </row>
    <row r="79" spans="1:13" ht="24.75" customHeight="1">
      <c r="A79" s="77"/>
      <c r="B79" s="96"/>
      <c r="C79" s="96"/>
      <c r="D79" s="30">
        <v>2023</v>
      </c>
      <c r="E79" s="33">
        <f t="shared" si="30"/>
        <v>0</v>
      </c>
      <c r="F79" s="33"/>
      <c r="G79" s="33">
        <f t="shared" si="31"/>
        <v>0</v>
      </c>
      <c r="H79" s="95"/>
      <c r="I79" s="33"/>
      <c r="J79" s="33">
        <v>0</v>
      </c>
      <c r="K79" s="95"/>
      <c r="L79" s="78"/>
      <c r="M79" s="82"/>
    </row>
    <row r="80" spans="1:13" ht="24.75" customHeight="1">
      <c r="A80" s="77" t="s">
        <v>78</v>
      </c>
      <c r="B80" s="96" t="s">
        <v>79</v>
      </c>
      <c r="C80" s="96"/>
      <c r="D80" s="13">
        <v>2017</v>
      </c>
      <c r="E80" s="97">
        <f aca="true" t="shared" si="32" ref="E80:E86">F80+G80+J80+K80</f>
        <v>11</v>
      </c>
      <c r="F80" s="97"/>
      <c r="G80" s="98">
        <f t="shared" si="31"/>
        <v>0</v>
      </c>
      <c r="H80" s="99"/>
      <c r="I80" s="100">
        <v>0</v>
      </c>
      <c r="J80" s="100">
        <f>11</f>
        <v>11</v>
      </c>
      <c r="K80" s="98"/>
      <c r="L80" s="78" t="s">
        <v>80</v>
      </c>
      <c r="M80" s="82" t="s">
        <v>81</v>
      </c>
    </row>
    <row r="81" spans="1:13" ht="24.75" customHeight="1">
      <c r="A81" s="77"/>
      <c r="B81" s="96"/>
      <c r="C81" s="96"/>
      <c r="D81" s="13">
        <v>2018</v>
      </c>
      <c r="E81" s="97">
        <f t="shared" si="32"/>
        <v>0</v>
      </c>
      <c r="F81" s="97"/>
      <c r="G81" s="98">
        <f t="shared" si="31"/>
        <v>0</v>
      </c>
      <c r="H81" s="99"/>
      <c r="I81" s="100">
        <v>0</v>
      </c>
      <c r="J81" s="100">
        <v>0</v>
      </c>
      <c r="K81" s="98"/>
      <c r="L81" s="78" t="s">
        <v>82</v>
      </c>
      <c r="M81" s="82"/>
    </row>
    <row r="82" spans="1:13" ht="24.75" customHeight="1">
      <c r="A82" s="77"/>
      <c r="B82" s="96"/>
      <c r="C82" s="96"/>
      <c r="D82" s="13">
        <v>2019</v>
      </c>
      <c r="E82" s="97">
        <f t="shared" si="32"/>
        <v>0</v>
      </c>
      <c r="F82" s="97"/>
      <c r="G82" s="98">
        <f t="shared" si="31"/>
        <v>0</v>
      </c>
      <c r="H82" s="99"/>
      <c r="I82" s="100">
        <v>0</v>
      </c>
      <c r="J82" s="100">
        <v>0</v>
      </c>
      <c r="K82" s="98"/>
      <c r="L82" s="78" t="s">
        <v>82</v>
      </c>
      <c r="M82" s="82"/>
    </row>
    <row r="83" spans="1:13" ht="24.75" customHeight="1">
      <c r="A83" s="77"/>
      <c r="B83" s="96"/>
      <c r="C83" s="96"/>
      <c r="D83" s="13">
        <v>2020</v>
      </c>
      <c r="E83" s="97">
        <f t="shared" si="32"/>
        <v>0</v>
      </c>
      <c r="F83" s="97"/>
      <c r="G83" s="98">
        <f t="shared" si="31"/>
        <v>0</v>
      </c>
      <c r="H83" s="99"/>
      <c r="I83" s="100">
        <v>0</v>
      </c>
      <c r="J83" s="100">
        <v>0</v>
      </c>
      <c r="K83" s="98"/>
      <c r="L83" s="78" t="s">
        <v>82</v>
      </c>
      <c r="M83" s="82"/>
    </row>
    <row r="84" spans="1:13" ht="24.75" customHeight="1">
      <c r="A84" s="77"/>
      <c r="B84" s="96"/>
      <c r="C84" s="96"/>
      <c r="D84" s="13">
        <v>2021</v>
      </c>
      <c r="E84" s="97">
        <f t="shared" si="32"/>
        <v>7</v>
      </c>
      <c r="F84" s="97"/>
      <c r="G84" s="98">
        <f t="shared" si="31"/>
        <v>0</v>
      </c>
      <c r="H84" s="99"/>
      <c r="I84" s="100">
        <v>0</v>
      </c>
      <c r="J84" s="100">
        <v>7</v>
      </c>
      <c r="K84" s="98"/>
      <c r="L84" s="78"/>
      <c r="M84" s="82"/>
    </row>
    <row r="85" spans="1:13" ht="41.25" customHeight="1">
      <c r="A85" s="77"/>
      <c r="B85" s="96"/>
      <c r="C85" s="96"/>
      <c r="D85" s="13">
        <v>2022</v>
      </c>
      <c r="E85" s="97">
        <f t="shared" si="32"/>
        <v>0</v>
      </c>
      <c r="F85" s="97"/>
      <c r="G85" s="98">
        <f t="shared" si="31"/>
        <v>0</v>
      </c>
      <c r="H85" s="99"/>
      <c r="I85" s="100">
        <v>0</v>
      </c>
      <c r="J85" s="100">
        <v>0</v>
      </c>
      <c r="K85" s="98"/>
      <c r="L85" s="78" t="s">
        <v>82</v>
      </c>
      <c r="M85" s="82"/>
    </row>
    <row r="86" spans="1:13" ht="41.25" customHeight="1">
      <c r="A86" s="77" t="s">
        <v>83</v>
      </c>
      <c r="B86" s="101" t="s">
        <v>84</v>
      </c>
      <c r="C86" s="101"/>
      <c r="D86" s="13">
        <v>2017</v>
      </c>
      <c r="E86" s="32">
        <f t="shared" si="32"/>
        <v>34.265</v>
      </c>
      <c r="F86" s="32"/>
      <c r="G86" s="33">
        <f t="shared" si="31"/>
        <v>0</v>
      </c>
      <c r="H86" s="33"/>
      <c r="I86" s="33">
        <v>0</v>
      </c>
      <c r="J86" s="33">
        <f>100-13.94-51.795</f>
        <v>34.265</v>
      </c>
      <c r="K86" s="33"/>
      <c r="L86" s="78" t="s">
        <v>63</v>
      </c>
      <c r="M86" s="82" t="s">
        <v>85</v>
      </c>
    </row>
    <row r="87" spans="1:13" ht="21.75" customHeight="1">
      <c r="A87" s="77"/>
      <c r="B87" s="101"/>
      <c r="C87" s="101"/>
      <c r="D87" s="13">
        <v>2018</v>
      </c>
      <c r="E87" s="32">
        <f>F87+G87+J87+K88</f>
        <v>22.85</v>
      </c>
      <c r="F87" s="32"/>
      <c r="G87" s="33">
        <f t="shared" si="31"/>
        <v>0</v>
      </c>
      <c r="H87" s="33"/>
      <c r="I87" s="33">
        <v>0</v>
      </c>
      <c r="J87" s="33">
        <f>5.5+9.25+8.1</f>
        <v>22.85</v>
      </c>
      <c r="K87" s="33"/>
      <c r="L87" s="78" t="s">
        <v>63</v>
      </c>
      <c r="M87" s="82"/>
    </row>
    <row r="88" spans="1:13" ht="18.75" customHeight="1">
      <c r="A88" s="77"/>
      <c r="B88" s="101"/>
      <c r="C88" s="101"/>
      <c r="D88" s="13"/>
      <c r="E88" s="32"/>
      <c r="F88" s="32"/>
      <c r="G88" s="33"/>
      <c r="H88" s="33"/>
      <c r="I88" s="33"/>
      <c r="J88" s="33"/>
      <c r="K88" s="33"/>
      <c r="L88" s="78"/>
      <c r="M88" s="82"/>
    </row>
    <row r="89" spans="1:13" ht="54" customHeight="1">
      <c r="A89" s="77"/>
      <c r="B89" s="101"/>
      <c r="C89" s="101"/>
      <c r="D89" s="13">
        <v>2019</v>
      </c>
      <c r="E89" s="32">
        <f aca="true" t="shared" si="33" ref="E89:E101">F89+G89+J89+K89</f>
        <v>35.1</v>
      </c>
      <c r="F89" s="33"/>
      <c r="G89" s="33">
        <f aca="true" t="shared" si="34" ref="G89:G101">H89+I89</f>
        <v>0</v>
      </c>
      <c r="H89" s="33"/>
      <c r="I89" s="33">
        <v>0</v>
      </c>
      <c r="J89" s="33">
        <f>22.85+12.25</f>
        <v>35.1</v>
      </c>
      <c r="K89" s="95"/>
      <c r="L89" s="78" t="s">
        <v>63</v>
      </c>
      <c r="M89" s="82"/>
    </row>
    <row r="90" spans="1:13" ht="36.75" customHeight="1">
      <c r="A90" s="77"/>
      <c r="B90" s="101"/>
      <c r="C90" s="101"/>
      <c r="D90" s="13">
        <v>2020</v>
      </c>
      <c r="E90" s="32">
        <f t="shared" si="33"/>
        <v>65.4657</v>
      </c>
      <c r="F90" s="33"/>
      <c r="G90" s="33">
        <f t="shared" si="34"/>
        <v>0</v>
      </c>
      <c r="H90" s="33"/>
      <c r="I90" s="33">
        <v>0</v>
      </c>
      <c r="J90" s="33">
        <f>35.1+9.9657+4.2+3+13.2</f>
        <v>65.4657</v>
      </c>
      <c r="K90" s="95"/>
      <c r="L90" s="78" t="s">
        <v>63</v>
      </c>
      <c r="M90" s="82"/>
    </row>
    <row r="91" spans="1:13" ht="34.5" customHeight="1">
      <c r="A91" s="77"/>
      <c r="B91" s="101"/>
      <c r="C91" s="101"/>
      <c r="D91" s="13">
        <v>2021</v>
      </c>
      <c r="E91" s="32">
        <f t="shared" si="33"/>
        <v>0</v>
      </c>
      <c r="F91" s="33"/>
      <c r="G91" s="33">
        <f t="shared" si="34"/>
        <v>0</v>
      </c>
      <c r="H91" s="33"/>
      <c r="I91" s="33">
        <v>0</v>
      </c>
      <c r="J91" s="33">
        <v>0</v>
      </c>
      <c r="K91" s="95"/>
      <c r="L91" s="78" t="s">
        <v>63</v>
      </c>
      <c r="M91" s="82"/>
    </row>
    <row r="92" spans="1:13" ht="33.75" customHeight="1">
      <c r="A92" s="77"/>
      <c r="B92" s="101"/>
      <c r="C92" s="101"/>
      <c r="D92" s="13">
        <v>2022</v>
      </c>
      <c r="E92" s="32">
        <f t="shared" si="33"/>
        <v>0</v>
      </c>
      <c r="F92" s="33"/>
      <c r="G92" s="33">
        <f t="shared" si="34"/>
        <v>0</v>
      </c>
      <c r="H92" s="33"/>
      <c r="I92" s="33">
        <v>0</v>
      </c>
      <c r="J92" s="33">
        <v>0</v>
      </c>
      <c r="K92" s="95"/>
      <c r="L92" s="78" t="s">
        <v>63</v>
      </c>
      <c r="M92" s="82"/>
    </row>
    <row r="93" spans="1:13" ht="43.5" customHeight="1">
      <c r="A93" s="77"/>
      <c r="B93" s="101"/>
      <c r="C93" s="101"/>
      <c r="D93" s="13">
        <v>2023</v>
      </c>
      <c r="E93" s="32">
        <f t="shared" si="33"/>
        <v>0</v>
      </c>
      <c r="F93" s="33"/>
      <c r="G93" s="33">
        <f t="shared" si="34"/>
        <v>0</v>
      </c>
      <c r="H93" s="33"/>
      <c r="I93" s="33">
        <v>0</v>
      </c>
      <c r="J93" s="33">
        <v>0</v>
      </c>
      <c r="K93" s="95"/>
      <c r="L93" s="78"/>
      <c r="M93" s="82"/>
    </row>
    <row r="94" spans="1:13" ht="27.75" customHeight="1">
      <c r="A94" s="77" t="s">
        <v>86</v>
      </c>
      <c r="B94" s="96" t="s">
        <v>87</v>
      </c>
      <c r="C94" s="96"/>
      <c r="D94" s="13">
        <v>2017</v>
      </c>
      <c r="E94" s="32">
        <f t="shared" si="33"/>
        <v>65.3997</v>
      </c>
      <c r="F94" s="33"/>
      <c r="G94" s="33">
        <f t="shared" si="34"/>
        <v>0</v>
      </c>
      <c r="H94" s="95"/>
      <c r="I94" s="33">
        <v>0</v>
      </c>
      <c r="J94" s="33">
        <f>70-4.6003</f>
        <v>65.3997</v>
      </c>
      <c r="K94" s="102"/>
      <c r="L94" s="78" t="s">
        <v>80</v>
      </c>
      <c r="M94" s="82" t="s">
        <v>88</v>
      </c>
    </row>
    <row r="95" spans="1:13" ht="30.75" customHeight="1">
      <c r="A95" s="77"/>
      <c r="B95" s="96"/>
      <c r="C95" s="96"/>
      <c r="D95" s="13">
        <v>2018</v>
      </c>
      <c r="E95" s="32">
        <f t="shared" si="33"/>
        <v>60</v>
      </c>
      <c r="F95" s="33"/>
      <c r="G95" s="32">
        <f t="shared" si="34"/>
        <v>0</v>
      </c>
      <c r="H95" s="102"/>
      <c r="I95" s="33">
        <v>0</v>
      </c>
      <c r="J95" s="33">
        <v>60</v>
      </c>
      <c r="K95" s="102"/>
      <c r="L95" s="78" t="s">
        <v>80</v>
      </c>
      <c r="M95" s="82"/>
    </row>
    <row r="96" spans="1:13" ht="24.75" customHeight="1">
      <c r="A96" s="77"/>
      <c r="B96" s="96"/>
      <c r="C96" s="96"/>
      <c r="D96" s="13">
        <v>2019</v>
      </c>
      <c r="E96" s="32">
        <f t="shared" si="33"/>
        <v>79</v>
      </c>
      <c r="F96" s="33"/>
      <c r="G96" s="32">
        <f t="shared" si="34"/>
        <v>0</v>
      </c>
      <c r="H96" s="102"/>
      <c r="I96" s="33">
        <v>0</v>
      </c>
      <c r="J96" s="33">
        <f>60+19</f>
        <v>79</v>
      </c>
      <c r="K96" s="102"/>
      <c r="L96" s="78" t="s">
        <v>80</v>
      </c>
      <c r="M96" s="82"/>
    </row>
    <row r="97" spans="1:13" ht="37.5" customHeight="1">
      <c r="A97" s="77"/>
      <c r="B97" s="96"/>
      <c r="C97" s="96"/>
      <c r="D97" s="13">
        <v>2020</v>
      </c>
      <c r="E97" s="32">
        <f t="shared" si="33"/>
        <v>101.781</v>
      </c>
      <c r="F97" s="33"/>
      <c r="G97" s="32">
        <f t="shared" si="34"/>
        <v>0</v>
      </c>
      <c r="H97" s="102"/>
      <c r="I97" s="33">
        <v>0</v>
      </c>
      <c r="J97" s="33">
        <f>60+1.781+40</f>
        <v>101.781</v>
      </c>
      <c r="K97" s="102"/>
      <c r="L97" s="78" t="s">
        <v>80</v>
      </c>
      <c r="M97" s="82"/>
    </row>
    <row r="98" spans="1:13" ht="24.75" customHeight="1">
      <c r="A98" s="77"/>
      <c r="B98" s="96"/>
      <c r="C98" s="96"/>
      <c r="D98" s="13">
        <v>2021</v>
      </c>
      <c r="E98" s="32">
        <f t="shared" si="33"/>
        <v>120.84</v>
      </c>
      <c r="F98" s="33"/>
      <c r="G98" s="32">
        <f t="shared" si="34"/>
        <v>0</v>
      </c>
      <c r="H98" s="102"/>
      <c r="I98" s="33">
        <v>0</v>
      </c>
      <c r="J98" s="33">
        <f>70.84+50</f>
        <v>120.84</v>
      </c>
      <c r="K98" s="102"/>
      <c r="L98" s="78"/>
      <c r="M98" s="82"/>
    </row>
    <row r="99" spans="1:13" ht="33.75" customHeight="1">
      <c r="A99" s="77"/>
      <c r="B99" s="96"/>
      <c r="C99" s="96"/>
      <c r="D99" s="13">
        <v>2022</v>
      </c>
      <c r="E99" s="32">
        <f t="shared" si="33"/>
        <v>0</v>
      </c>
      <c r="F99" s="33"/>
      <c r="G99" s="32">
        <f t="shared" si="34"/>
        <v>0</v>
      </c>
      <c r="H99" s="102"/>
      <c r="I99" s="33">
        <v>0</v>
      </c>
      <c r="J99" s="33">
        <v>0</v>
      </c>
      <c r="K99" s="102"/>
      <c r="L99" s="78" t="s">
        <v>80</v>
      </c>
      <c r="M99" s="82"/>
    </row>
    <row r="100" spans="1:13" ht="24.75" customHeight="1">
      <c r="A100" s="77"/>
      <c r="B100" s="96"/>
      <c r="C100" s="96"/>
      <c r="D100" s="13">
        <v>2023</v>
      </c>
      <c r="E100" s="32">
        <f t="shared" si="33"/>
        <v>0</v>
      </c>
      <c r="F100" s="33"/>
      <c r="G100" s="32">
        <f t="shared" si="34"/>
        <v>0</v>
      </c>
      <c r="H100" s="102"/>
      <c r="I100" s="33">
        <v>0</v>
      </c>
      <c r="J100" s="33">
        <v>0</v>
      </c>
      <c r="K100" s="103"/>
      <c r="L100" s="78"/>
      <c r="M100" s="82"/>
    </row>
    <row r="101" spans="1:13" ht="24.75" customHeight="1">
      <c r="A101" s="77" t="s">
        <v>89</v>
      </c>
      <c r="B101" s="96" t="s">
        <v>90</v>
      </c>
      <c r="C101" s="96"/>
      <c r="D101" s="13">
        <v>2017</v>
      </c>
      <c r="E101" s="32">
        <f t="shared" si="33"/>
        <v>27.52</v>
      </c>
      <c r="F101" s="33"/>
      <c r="G101" s="33">
        <f t="shared" si="34"/>
        <v>0</v>
      </c>
      <c r="H101" s="32"/>
      <c r="I101" s="33">
        <v>0</v>
      </c>
      <c r="J101" s="33">
        <v>27.52</v>
      </c>
      <c r="K101" s="32"/>
      <c r="L101" s="78" t="s">
        <v>82</v>
      </c>
      <c r="M101" s="82" t="s">
        <v>91</v>
      </c>
    </row>
    <row r="102" spans="1:13" ht="16.5" customHeight="1">
      <c r="A102" s="77"/>
      <c r="B102" s="96"/>
      <c r="C102" s="96"/>
      <c r="D102" s="13"/>
      <c r="E102" s="32"/>
      <c r="F102" s="33"/>
      <c r="G102" s="33"/>
      <c r="H102" s="32"/>
      <c r="I102" s="33"/>
      <c r="J102" s="33"/>
      <c r="K102" s="32"/>
      <c r="L102" s="78"/>
      <c r="M102" s="82"/>
    </row>
    <row r="103" spans="1:13" ht="28.5" customHeight="1">
      <c r="A103" s="77"/>
      <c r="B103" s="96"/>
      <c r="C103" s="96"/>
      <c r="D103" s="13">
        <v>2018</v>
      </c>
      <c r="E103" s="32">
        <f aca="true" t="shared" si="35" ref="E103:E114">F103+G103+J103+K103</f>
        <v>28.369999999999997</v>
      </c>
      <c r="F103" s="33"/>
      <c r="G103" s="33">
        <f aca="true" t="shared" si="36" ref="G103:G128">H103+I103</f>
        <v>0</v>
      </c>
      <c r="H103" s="102"/>
      <c r="I103" s="33">
        <v>0</v>
      </c>
      <c r="J103" s="33">
        <f>70-41.63</f>
        <v>28.369999999999997</v>
      </c>
      <c r="K103" s="102"/>
      <c r="L103" s="78" t="s">
        <v>82</v>
      </c>
      <c r="M103" s="82"/>
    </row>
    <row r="104" spans="1:13" ht="30.75" customHeight="1">
      <c r="A104" s="77"/>
      <c r="B104" s="96"/>
      <c r="C104" s="96"/>
      <c r="D104" s="13">
        <v>2019</v>
      </c>
      <c r="E104" s="32">
        <f t="shared" si="35"/>
        <v>28.37</v>
      </c>
      <c r="F104" s="33"/>
      <c r="G104" s="33">
        <f t="shared" si="36"/>
        <v>0</v>
      </c>
      <c r="H104" s="102"/>
      <c r="I104" s="33">
        <v>0</v>
      </c>
      <c r="J104" s="33">
        <v>28.37</v>
      </c>
      <c r="K104" s="102"/>
      <c r="L104" s="78" t="s">
        <v>82</v>
      </c>
      <c r="M104" s="82"/>
    </row>
    <row r="105" spans="1:13" ht="29.25" customHeight="1">
      <c r="A105" s="77"/>
      <c r="B105" s="96"/>
      <c r="C105" s="96"/>
      <c r="D105" s="13">
        <v>2020</v>
      </c>
      <c r="E105" s="32">
        <f t="shared" si="35"/>
        <v>2.0150000000000006</v>
      </c>
      <c r="F105" s="33"/>
      <c r="G105" s="33">
        <f t="shared" si="36"/>
        <v>0</v>
      </c>
      <c r="H105" s="102"/>
      <c r="I105" s="33">
        <v>0</v>
      </c>
      <c r="J105" s="33">
        <f>28.37-26.355</f>
        <v>2.0150000000000006</v>
      </c>
      <c r="K105" s="102"/>
      <c r="L105" s="78" t="s">
        <v>82</v>
      </c>
      <c r="M105" s="82"/>
    </row>
    <row r="106" spans="1:13" ht="31.5" customHeight="1">
      <c r="A106" s="77"/>
      <c r="B106" s="96"/>
      <c r="C106" s="96"/>
      <c r="D106" s="13">
        <v>2021</v>
      </c>
      <c r="E106" s="32">
        <f t="shared" si="35"/>
        <v>0</v>
      </c>
      <c r="F106" s="33"/>
      <c r="G106" s="33">
        <f t="shared" si="36"/>
        <v>0</v>
      </c>
      <c r="H106" s="102"/>
      <c r="I106" s="33">
        <v>0</v>
      </c>
      <c r="J106" s="33">
        <v>0</v>
      </c>
      <c r="K106" s="102"/>
      <c r="L106" s="78" t="s">
        <v>82</v>
      </c>
      <c r="M106" s="82"/>
    </row>
    <row r="107" spans="1:13" ht="32.25" customHeight="1">
      <c r="A107" s="77"/>
      <c r="B107" s="96"/>
      <c r="C107" s="96"/>
      <c r="D107" s="13">
        <v>2022</v>
      </c>
      <c r="E107" s="32">
        <f t="shared" si="35"/>
        <v>0</v>
      </c>
      <c r="F107" s="33"/>
      <c r="G107" s="33">
        <f t="shared" si="36"/>
        <v>0</v>
      </c>
      <c r="H107" s="102"/>
      <c r="I107" s="33">
        <v>0</v>
      </c>
      <c r="J107" s="33">
        <v>0</v>
      </c>
      <c r="K107" s="102"/>
      <c r="L107" s="78" t="s">
        <v>82</v>
      </c>
      <c r="M107" s="82"/>
    </row>
    <row r="108" spans="1:13" ht="24.75" customHeight="1">
      <c r="A108" s="77"/>
      <c r="B108" s="96"/>
      <c r="C108" s="96"/>
      <c r="D108" s="13">
        <v>2023</v>
      </c>
      <c r="E108" s="32">
        <f t="shared" si="35"/>
        <v>0</v>
      </c>
      <c r="F108" s="33"/>
      <c r="G108" s="33">
        <f t="shared" si="36"/>
        <v>0</v>
      </c>
      <c r="H108" s="102"/>
      <c r="I108" s="33">
        <v>0</v>
      </c>
      <c r="J108" s="33">
        <v>0</v>
      </c>
      <c r="K108" s="102"/>
      <c r="L108" s="78"/>
      <c r="M108" s="104"/>
    </row>
    <row r="109" spans="1:13" ht="24.75" customHeight="1">
      <c r="A109" s="105" t="s">
        <v>92</v>
      </c>
      <c r="B109" s="106" t="s">
        <v>93</v>
      </c>
      <c r="C109" s="106"/>
      <c r="D109" s="13">
        <v>2017</v>
      </c>
      <c r="E109" s="32">
        <f t="shared" si="35"/>
        <v>50</v>
      </c>
      <c r="F109" s="33"/>
      <c r="G109" s="33">
        <f t="shared" si="36"/>
        <v>50</v>
      </c>
      <c r="H109" s="107"/>
      <c r="I109" s="108">
        <v>50</v>
      </c>
      <c r="J109" s="33">
        <v>0</v>
      </c>
      <c r="K109" s="109"/>
      <c r="L109" s="78" t="s">
        <v>94</v>
      </c>
      <c r="M109" s="110" t="s">
        <v>95</v>
      </c>
    </row>
    <row r="110" spans="1:13" ht="24.75" customHeight="1">
      <c r="A110" s="105"/>
      <c r="B110" s="106"/>
      <c r="C110" s="106"/>
      <c r="D110" s="13">
        <v>2018</v>
      </c>
      <c r="E110" s="32">
        <f t="shared" si="35"/>
        <v>0</v>
      </c>
      <c r="F110" s="33"/>
      <c r="G110" s="33">
        <f t="shared" si="36"/>
        <v>0</v>
      </c>
      <c r="H110" s="33"/>
      <c r="I110" s="33">
        <v>0</v>
      </c>
      <c r="J110" s="33">
        <v>0</v>
      </c>
      <c r="K110" s="109"/>
      <c r="L110" s="78"/>
      <c r="M110" s="110"/>
    </row>
    <row r="111" spans="1:13" ht="24.75" customHeight="1">
      <c r="A111" s="105"/>
      <c r="B111" s="106"/>
      <c r="C111" s="106"/>
      <c r="D111" s="13">
        <v>2019</v>
      </c>
      <c r="E111" s="32">
        <f t="shared" si="35"/>
        <v>50</v>
      </c>
      <c r="F111" s="33"/>
      <c r="G111" s="33">
        <f t="shared" si="36"/>
        <v>50</v>
      </c>
      <c r="H111" s="33"/>
      <c r="I111" s="33">
        <v>50</v>
      </c>
      <c r="J111" s="33">
        <v>0</v>
      </c>
      <c r="K111" s="109"/>
      <c r="L111" s="78" t="s">
        <v>96</v>
      </c>
      <c r="M111" s="110"/>
    </row>
    <row r="112" spans="1:13" ht="24.75" customHeight="1">
      <c r="A112" s="105"/>
      <c r="B112" s="106"/>
      <c r="C112" s="106"/>
      <c r="D112" s="13">
        <v>2020</v>
      </c>
      <c r="E112" s="32">
        <f t="shared" si="35"/>
        <v>0</v>
      </c>
      <c r="F112" s="33"/>
      <c r="G112" s="33">
        <f t="shared" si="36"/>
        <v>0</v>
      </c>
      <c r="H112" s="33"/>
      <c r="I112" s="33">
        <v>0</v>
      </c>
      <c r="J112" s="33">
        <v>0</v>
      </c>
      <c r="K112" s="109"/>
      <c r="L112" s="78"/>
      <c r="M112" s="110"/>
    </row>
    <row r="113" spans="1:13" ht="24.75" customHeight="1">
      <c r="A113" s="105"/>
      <c r="B113" s="106"/>
      <c r="C113" s="106"/>
      <c r="D113" s="13">
        <v>2021</v>
      </c>
      <c r="E113" s="32">
        <f t="shared" si="35"/>
        <v>0</v>
      </c>
      <c r="F113" s="33"/>
      <c r="G113" s="33">
        <f t="shared" si="36"/>
        <v>0</v>
      </c>
      <c r="H113" s="33"/>
      <c r="I113" s="33">
        <v>0</v>
      </c>
      <c r="J113" s="33">
        <v>0</v>
      </c>
      <c r="K113" s="109"/>
      <c r="L113" s="78"/>
      <c r="M113" s="110"/>
    </row>
    <row r="114" spans="1:13" ht="30.75" customHeight="1">
      <c r="A114" s="22" t="s">
        <v>97</v>
      </c>
      <c r="B114" s="111" t="s">
        <v>98</v>
      </c>
      <c r="C114" s="111"/>
      <c r="D114" s="112">
        <v>2017</v>
      </c>
      <c r="E114" s="113">
        <f t="shared" si="35"/>
        <v>627.047</v>
      </c>
      <c r="F114" s="114"/>
      <c r="G114" s="115">
        <f t="shared" si="36"/>
        <v>0</v>
      </c>
      <c r="H114" s="116">
        <f>H115+H116+H117+H118+H119+H120</f>
        <v>0</v>
      </c>
      <c r="I114" s="115">
        <f>I115+I116+I117+I118+I119+I120</f>
        <v>0</v>
      </c>
      <c r="J114" s="115">
        <f>J115+J116+J117+J118+J119+J120</f>
        <v>627.047</v>
      </c>
      <c r="K114" s="115">
        <f>K115+K116+K117+K118+K119+K120</f>
        <v>0</v>
      </c>
      <c r="L114" s="117"/>
      <c r="M114" s="118" t="s">
        <v>99</v>
      </c>
    </row>
    <row r="115" spans="1:13" ht="39.75" customHeight="1">
      <c r="A115" s="22"/>
      <c r="B115" s="111"/>
      <c r="C115" s="111"/>
      <c r="D115" s="112"/>
      <c r="E115" s="113"/>
      <c r="F115" s="41"/>
      <c r="G115" s="41">
        <f t="shared" si="36"/>
        <v>0</v>
      </c>
      <c r="H115" s="41"/>
      <c r="I115" s="119"/>
      <c r="J115" s="119">
        <f>50+13.94</f>
        <v>63.94</v>
      </c>
      <c r="K115" s="120"/>
      <c r="L115" s="121" t="s">
        <v>100</v>
      </c>
      <c r="M115" s="118"/>
    </row>
    <row r="116" spans="1:13" ht="24.75" customHeight="1">
      <c r="A116" s="22"/>
      <c r="B116" s="111"/>
      <c r="C116" s="111"/>
      <c r="D116" s="112"/>
      <c r="E116" s="113"/>
      <c r="F116" s="32"/>
      <c r="G116" s="32">
        <f t="shared" si="36"/>
        <v>0</v>
      </c>
      <c r="H116" s="102"/>
      <c r="I116" s="33"/>
      <c r="J116" s="33">
        <v>113.23</v>
      </c>
      <c r="K116" s="102"/>
      <c r="L116" s="55" t="s">
        <v>101</v>
      </c>
      <c r="M116" s="118"/>
    </row>
    <row r="117" spans="1:13" ht="24.75" customHeight="1">
      <c r="A117" s="22"/>
      <c r="B117" s="111"/>
      <c r="C117" s="111"/>
      <c r="D117" s="112"/>
      <c r="E117" s="113"/>
      <c r="F117" s="32"/>
      <c r="G117" s="32">
        <f t="shared" si="36"/>
        <v>0</v>
      </c>
      <c r="H117" s="102"/>
      <c r="I117" s="33"/>
      <c r="J117" s="33">
        <v>205.427</v>
      </c>
      <c r="K117" s="102"/>
      <c r="L117" s="55" t="s">
        <v>102</v>
      </c>
      <c r="M117" s="118"/>
    </row>
    <row r="118" spans="1:13" ht="24.75" customHeight="1">
      <c r="A118" s="22"/>
      <c r="B118" s="111"/>
      <c r="C118" s="111"/>
      <c r="D118" s="112"/>
      <c r="E118" s="113"/>
      <c r="F118" s="32"/>
      <c r="G118" s="32">
        <f t="shared" si="36"/>
        <v>0</v>
      </c>
      <c r="H118" s="102"/>
      <c r="I118" s="33"/>
      <c r="J118" s="33">
        <v>13.23</v>
      </c>
      <c r="K118" s="102"/>
      <c r="L118" s="55" t="s">
        <v>103</v>
      </c>
      <c r="M118" s="118"/>
    </row>
    <row r="119" spans="1:13" ht="24.75" customHeight="1">
      <c r="A119" s="22"/>
      <c r="B119" s="111"/>
      <c r="C119" s="111"/>
      <c r="D119" s="112"/>
      <c r="E119" s="113"/>
      <c r="F119" s="32"/>
      <c r="G119" s="32">
        <f t="shared" si="36"/>
        <v>0</v>
      </c>
      <c r="H119" s="102"/>
      <c r="I119" s="33"/>
      <c r="J119" s="33">
        <v>161.09</v>
      </c>
      <c r="K119" s="102"/>
      <c r="L119" s="55" t="s">
        <v>104</v>
      </c>
      <c r="M119" s="118"/>
    </row>
    <row r="120" spans="1:13" ht="24.75" customHeight="1">
      <c r="A120" s="22"/>
      <c r="B120" s="111"/>
      <c r="C120" s="111"/>
      <c r="D120" s="112"/>
      <c r="E120" s="113"/>
      <c r="F120" s="122"/>
      <c r="G120" s="122">
        <f t="shared" si="36"/>
        <v>0</v>
      </c>
      <c r="H120" s="123"/>
      <c r="I120" s="124"/>
      <c r="J120" s="124">
        <f>15.18+18+36.45+0.5</f>
        <v>70.13</v>
      </c>
      <c r="K120" s="123"/>
      <c r="L120" s="125" t="s">
        <v>105</v>
      </c>
      <c r="M120" s="118"/>
    </row>
    <row r="121" spans="1:13" ht="24.75" customHeight="1">
      <c r="A121" s="22"/>
      <c r="B121" s="111"/>
      <c r="C121" s="111"/>
      <c r="D121" s="126">
        <v>2018</v>
      </c>
      <c r="E121" s="127">
        <f>F121+G121+J121+K121</f>
        <v>2781.9159799999998</v>
      </c>
      <c r="F121" s="128"/>
      <c r="G121" s="129">
        <f t="shared" si="36"/>
        <v>0</v>
      </c>
      <c r="H121" s="129">
        <f>H122+H123+H124+H125+H126+H127+H128</f>
        <v>0</v>
      </c>
      <c r="I121" s="129">
        <f>I122+I123+I124+I125+I126+I127+I128</f>
        <v>0</v>
      </c>
      <c r="J121" s="129">
        <f>J122+J123+J124+J125+J126+J127+J128</f>
        <v>2781.9159799999998</v>
      </c>
      <c r="K121" s="129">
        <f>K122+K123+K124+K125+K126+K127+K128</f>
        <v>0</v>
      </c>
      <c r="L121" s="130"/>
      <c r="M121" s="118"/>
    </row>
    <row r="122" spans="1:13" ht="26.25" customHeight="1">
      <c r="A122" s="22"/>
      <c r="B122" s="111"/>
      <c r="C122" s="111"/>
      <c r="D122" s="126"/>
      <c r="E122" s="127"/>
      <c r="F122" s="131"/>
      <c r="G122" s="132">
        <f t="shared" si="36"/>
        <v>0</v>
      </c>
      <c r="H122" s="131"/>
      <c r="I122" s="132"/>
      <c r="J122" s="132">
        <v>0</v>
      </c>
      <c r="K122" s="133"/>
      <c r="L122" s="121" t="s">
        <v>100</v>
      </c>
      <c r="M122" s="118"/>
    </row>
    <row r="123" spans="1:13" ht="24.75" customHeight="1">
      <c r="A123" s="22"/>
      <c r="B123" s="111"/>
      <c r="C123" s="111"/>
      <c r="D123" s="126"/>
      <c r="E123" s="127"/>
      <c r="F123" s="83"/>
      <c r="G123" s="80">
        <f t="shared" si="36"/>
        <v>0</v>
      </c>
      <c r="H123" s="83"/>
      <c r="I123" s="80"/>
      <c r="J123" s="80">
        <f>12.64+1186-181.18-36.69771</f>
        <v>980.76229</v>
      </c>
      <c r="K123" s="134"/>
      <c r="L123" s="55" t="s">
        <v>101</v>
      </c>
      <c r="M123" s="118"/>
    </row>
    <row r="124" spans="1:13" ht="24.75" customHeight="1">
      <c r="A124" s="22"/>
      <c r="B124" s="111"/>
      <c r="C124" s="111"/>
      <c r="D124" s="126"/>
      <c r="E124" s="127"/>
      <c r="F124" s="83"/>
      <c r="G124" s="80">
        <f t="shared" si="36"/>
        <v>0</v>
      </c>
      <c r="H124" s="83"/>
      <c r="I124" s="80"/>
      <c r="J124" s="80">
        <f>12.64+445+788.79-277.21131</f>
        <v>969.2186899999998</v>
      </c>
      <c r="K124" s="134"/>
      <c r="L124" s="55" t="s">
        <v>102</v>
      </c>
      <c r="M124" s="118"/>
    </row>
    <row r="125" spans="1:13" ht="24.75" customHeight="1">
      <c r="A125" s="22"/>
      <c r="B125" s="111"/>
      <c r="C125" s="111"/>
      <c r="D125" s="126"/>
      <c r="E125" s="127"/>
      <c r="F125" s="83"/>
      <c r="G125" s="80">
        <f t="shared" si="36"/>
        <v>0</v>
      </c>
      <c r="H125" s="83"/>
      <c r="I125" s="80"/>
      <c r="J125" s="80">
        <f>12.64+437.6-55.429</f>
        <v>394.81100000000004</v>
      </c>
      <c r="K125" s="134"/>
      <c r="L125" s="55" t="s">
        <v>103</v>
      </c>
      <c r="M125" s="118"/>
    </row>
    <row r="126" spans="1:13" ht="24.75" customHeight="1">
      <c r="A126" s="22"/>
      <c r="B126" s="111"/>
      <c r="C126" s="111"/>
      <c r="D126" s="126"/>
      <c r="E126" s="127"/>
      <c r="F126" s="83"/>
      <c r="G126" s="80">
        <f t="shared" si="36"/>
        <v>0</v>
      </c>
      <c r="H126" s="83"/>
      <c r="I126" s="80"/>
      <c r="J126" s="80">
        <f>30.36+107+120+26.184</f>
        <v>283.54400000000004</v>
      </c>
      <c r="K126" s="134"/>
      <c r="L126" s="55" t="s">
        <v>104</v>
      </c>
      <c r="M126" s="118"/>
    </row>
    <row r="127" spans="1:13" ht="24.75" customHeight="1">
      <c r="A127" s="22"/>
      <c r="B127" s="111"/>
      <c r="C127" s="111"/>
      <c r="D127" s="126"/>
      <c r="E127" s="127"/>
      <c r="F127" s="83"/>
      <c r="G127" s="80">
        <f t="shared" si="36"/>
        <v>0</v>
      </c>
      <c r="H127" s="83"/>
      <c r="I127" s="80"/>
      <c r="J127" s="80">
        <f>15.18+165-26.6</f>
        <v>153.58</v>
      </c>
      <c r="K127" s="134"/>
      <c r="L127" s="55" t="s">
        <v>105</v>
      </c>
      <c r="M127" s="118"/>
    </row>
    <row r="128" spans="1:13" ht="24.75" customHeight="1">
      <c r="A128" s="22"/>
      <c r="B128" s="111"/>
      <c r="C128" s="111"/>
      <c r="D128" s="126"/>
      <c r="E128" s="127"/>
      <c r="F128" s="135"/>
      <c r="G128" s="136">
        <f t="shared" si="36"/>
        <v>0</v>
      </c>
      <c r="H128" s="135"/>
      <c r="I128" s="136"/>
      <c r="J128" s="136">
        <v>0</v>
      </c>
      <c r="K128" s="137"/>
      <c r="L128" s="125" t="s">
        <v>106</v>
      </c>
      <c r="M128" s="118"/>
    </row>
    <row r="129" spans="1:13" ht="24.75" customHeight="1">
      <c r="A129" s="22"/>
      <c r="B129" s="111"/>
      <c r="C129" s="111"/>
      <c r="D129" s="126">
        <v>2019</v>
      </c>
      <c r="E129" s="127">
        <f>F129+G129+J129+K129</f>
        <v>387.68</v>
      </c>
      <c r="F129" s="128">
        <f>SUM(F130:F136)</f>
        <v>0</v>
      </c>
      <c r="G129" s="129">
        <f>SUM(G130:G136)</f>
        <v>0</v>
      </c>
      <c r="H129" s="129">
        <f>SUM(H130:H136)</f>
        <v>0</v>
      </c>
      <c r="I129" s="129">
        <f>SUM(I130:I136)</f>
        <v>0</v>
      </c>
      <c r="J129" s="129">
        <f>SUM(J130:J136)</f>
        <v>387.68</v>
      </c>
      <c r="K129" s="129">
        <f>SUM(K130:K136)</f>
        <v>0</v>
      </c>
      <c r="L129" s="130"/>
      <c r="M129" s="118"/>
    </row>
    <row r="130" spans="1:13" ht="24.75" customHeight="1">
      <c r="A130" s="22"/>
      <c r="B130" s="111"/>
      <c r="C130" s="111"/>
      <c r="D130" s="126"/>
      <c r="E130" s="127"/>
      <c r="F130" s="131"/>
      <c r="G130" s="132">
        <f aca="true" t="shared" si="37" ref="G130:G136">H130+I130</f>
        <v>0</v>
      </c>
      <c r="H130" s="131"/>
      <c r="I130" s="132"/>
      <c r="J130" s="132">
        <v>0</v>
      </c>
      <c r="K130" s="133"/>
      <c r="L130" s="121" t="s">
        <v>100</v>
      </c>
      <c r="M130" s="118"/>
    </row>
    <row r="131" spans="1:13" ht="24.75" customHeight="1">
      <c r="A131" s="22"/>
      <c r="B131" s="111"/>
      <c r="C131" s="111"/>
      <c r="D131" s="126"/>
      <c r="E131" s="127"/>
      <c r="F131" s="83"/>
      <c r="G131" s="80">
        <f t="shared" si="37"/>
        <v>0</v>
      </c>
      <c r="H131" s="83"/>
      <c r="I131" s="80"/>
      <c r="J131" s="80">
        <v>12.64</v>
      </c>
      <c r="K131" s="134"/>
      <c r="L131" s="55" t="s">
        <v>101</v>
      </c>
      <c r="M131" s="118"/>
    </row>
    <row r="132" spans="1:13" ht="24.75" customHeight="1">
      <c r="A132" s="22"/>
      <c r="B132" s="111"/>
      <c r="C132" s="111"/>
      <c r="D132" s="126"/>
      <c r="E132" s="127"/>
      <c r="F132" s="83"/>
      <c r="G132" s="80">
        <f t="shared" si="37"/>
        <v>0</v>
      </c>
      <c r="H132" s="83"/>
      <c r="I132" s="80"/>
      <c r="J132" s="80">
        <v>12.64</v>
      </c>
      <c r="K132" s="134"/>
      <c r="L132" s="55" t="s">
        <v>102</v>
      </c>
      <c r="M132" s="118"/>
    </row>
    <row r="133" spans="1:13" ht="24.75" customHeight="1">
      <c r="A133" s="22"/>
      <c r="B133" s="111"/>
      <c r="C133" s="111"/>
      <c r="D133" s="126"/>
      <c r="E133" s="127"/>
      <c r="F133" s="83"/>
      <c r="G133" s="80">
        <f t="shared" si="37"/>
        <v>0</v>
      </c>
      <c r="H133" s="83"/>
      <c r="I133" s="80"/>
      <c r="J133" s="80">
        <f>12.64+100</f>
        <v>112.64</v>
      </c>
      <c r="K133" s="134"/>
      <c r="L133" s="55" t="s">
        <v>103</v>
      </c>
      <c r="M133" s="118"/>
    </row>
    <row r="134" spans="1:13" ht="21.75" customHeight="1">
      <c r="A134" s="22"/>
      <c r="B134" s="111"/>
      <c r="C134" s="111"/>
      <c r="D134" s="126"/>
      <c r="E134" s="127"/>
      <c r="F134" s="83"/>
      <c r="G134" s="80">
        <f t="shared" si="37"/>
        <v>0</v>
      </c>
      <c r="H134" s="83"/>
      <c r="I134" s="80"/>
      <c r="J134" s="80">
        <v>0</v>
      </c>
      <c r="K134" s="134"/>
      <c r="L134" s="55" t="s">
        <v>107</v>
      </c>
      <c r="M134" s="118"/>
    </row>
    <row r="135" spans="1:13" ht="21" customHeight="1">
      <c r="A135" s="22"/>
      <c r="B135" s="111"/>
      <c r="C135" s="111"/>
      <c r="D135" s="126"/>
      <c r="E135" s="127"/>
      <c r="F135" s="83"/>
      <c r="G135" s="80">
        <f t="shared" si="37"/>
        <v>0</v>
      </c>
      <c r="H135" s="83"/>
      <c r="I135" s="80"/>
      <c r="J135" s="80">
        <f>30.36+100</f>
        <v>130.36</v>
      </c>
      <c r="K135" s="134"/>
      <c r="L135" s="55" t="s">
        <v>104</v>
      </c>
      <c r="M135" s="118"/>
    </row>
    <row r="136" spans="1:13" ht="21" customHeight="1">
      <c r="A136" s="22"/>
      <c r="B136" s="111"/>
      <c r="C136" s="111"/>
      <c r="D136" s="126"/>
      <c r="E136" s="127"/>
      <c r="F136" s="135"/>
      <c r="G136" s="136">
        <f t="shared" si="37"/>
        <v>0</v>
      </c>
      <c r="H136" s="135"/>
      <c r="I136" s="136"/>
      <c r="J136" s="136">
        <f>15.18+16.731+100-12.511</f>
        <v>119.4</v>
      </c>
      <c r="K136" s="137"/>
      <c r="L136" s="125" t="s">
        <v>105</v>
      </c>
      <c r="M136" s="118"/>
    </row>
    <row r="137" spans="1:13" ht="26.25" customHeight="1">
      <c r="A137" s="22"/>
      <c r="B137" s="111"/>
      <c r="C137" s="111"/>
      <c r="D137" s="126">
        <v>2020</v>
      </c>
      <c r="E137" s="127">
        <f>F137+G137+J137+K137</f>
        <v>153.72000000000003</v>
      </c>
      <c r="F137" s="128">
        <f>SUM(F139:F144)</f>
        <v>0</v>
      </c>
      <c r="G137" s="129">
        <f>SUM(G139:G144)</f>
        <v>0</v>
      </c>
      <c r="H137" s="129">
        <f>SUM(H139:H144)</f>
        <v>0</v>
      </c>
      <c r="I137" s="129">
        <f>SUM(I139:I144)</f>
        <v>0</v>
      </c>
      <c r="J137" s="129">
        <f>SUM(J139:J144)</f>
        <v>153.72000000000003</v>
      </c>
      <c r="K137" s="138">
        <f>SUM(K139:K144)</f>
        <v>0</v>
      </c>
      <c r="L137" s="139"/>
      <c r="M137" s="118"/>
    </row>
    <row r="138" spans="1:13" ht="21.75" customHeight="1">
      <c r="A138" s="22"/>
      <c r="B138" s="111"/>
      <c r="C138" s="111"/>
      <c r="D138" s="126"/>
      <c r="E138" s="127"/>
      <c r="F138" s="131"/>
      <c r="G138" s="132">
        <f aca="true" t="shared" si="38" ref="G138:G144">H138+I138</f>
        <v>0</v>
      </c>
      <c r="H138" s="131"/>
      <c r="I138" s="132"/>
      <c r="J138" s="132">
        <v>0</v>
      </c>
      <c r="K138" s="133"/>
      <c r="L138" s="55" t="s">
        <v>100</v>
      </c>
      <c r="M138" s="118"/>
    </row>
    <row r="139" spans="1:13" ht="24.75" customHeight="1">
      <c r="A139" s="22"/>
      <c r="B139" s="111"/>
      <c r="C139" s="111"/>
      <c r="D139" s="126"/>
      <c r="E139" s="127"/>
      <c r="F139" s="83"/>
      <c r="G139" s="80">
        <f t="shared" si="38"/>
        <v>0</v>
      </c>
      <c r="H139" s="83"/>
      <c r="I139" s="80"/>
      <c r="J139" s="80">
        <v>29.64</v>
      </c>
      <c r="K139" s="134"/>
      <c r="L139" s="55" t="s">
        <v>108</v>
      </c>
      <c r="M139" s="118"/>
    </row>
    <row r="140" spans="1:13" ht="24.75" customHeight="1">
      <c r="A140" s="22"/>
      <c r="B140" s="111"/>
      <c r="C140" s="111"/>
      <c r="D140" s="126"/>
      <c r="E140" s="127"/>
      <c r="F140" s="83"/>
      <c r="G140" s="80">
        <f t="shared" si="38"/>
        <v>0</v>
      </c>
      <c r="H140" s="83"/>
      <c r="I140" s="80"/>
      <c r="J140" s="80">
        <v>29.64</v>
      </c>
      <c r="K140" s="134"/>
      <c r="L140" s="55" t="s">
        <v>109</v>
      </c>
      <c r="M140" s="118"/>
    </row>
    <row r="141" spans="1:13" ht="24.75" customHeight="1">
      <c r="A141" s="22"/>
      <c r="B141" s="111"/>
      <c r="C141" s="111"/>
      <c r="D141" s="126"/>
      <c r="E141" s="127"/>
      <c r="F141" s="83"/>
      <c r="G141" s="80">
        <f t="shared" si="38"/>
        <v>0</v>
      </c>
      <c r="H141" s="83"/>
      <c r="I141" s="80"/>
      <c r="J141" s="80">
        <v>29.64</v>
      </c>
      <c r="K141" s="134"/>
      <c r="L141" s="55" t="s">
        <v>110</v>
      </c>
      <c r="M141" s="118"/>
    </row>
    <row r="142" spans="1:13" ht="24.75" customHeight="1">
      <c r="A142" s="22"/>
      <c r="B142" s="111"/>
      <c r="C142" s="111"/>
      <c r="D142" s="126"/>
      <c r="E142" s="127"/>
      <c r="F142" s="83"/>
      <c r="G142" s="80">
        <f t="shared" si="38"/>
        <v>0</v>
      </c>
      <c r="H142" s="83"/>
      <c r="I142" s="80"/>
      <c r="J142" s="80">
        <v>0</v>
      </c>
      <c r="K142" s="134"/>
      <c r="L142" s="55" t="s">
        <v>111</v>
      </c>
      <c r="M142" s="118"/>
    </row>
    <row r="143" spans="1:13" ht="24.75" customHeight="1">
      <c r="A143" s="22"/>
      <c r="B143" s="111"/>
      <c r="C143" s="111"/>
      <c r="D143" s="126"/>
      <c r="E143" s="127"/>
      <c r="F143" s="83"/>
      <c r="G143" s="80">
        <f t="shared" si="38"/>
        <v>0</v>
      </c>
      <c r="H143" s="83"/>
      <c r="I143" s="80"/>
      <c r="J143" s="80">
        <f>33.6-1.2</f>
        <v>32.4</v>
      </c>
      <c r="K143" s="134"/>
      <c r="L143" s="55" t="s">
        <v>112</v>
      </c>
      <c r="M143" s="118"/>
    </row>
    <row r="144" spans="1:13" ht="24.75" customHeight="1">
      <c r="A144" s="22"/>
      <c r="B144" s="111"/>
      <c r="C144" s="111"/>
      <c r="D144" s="126"/>
      <c r="E144" s="127"/>
      <c r="F144" s="135"/>
      <c r="G144" s="136">
        <f t="shared" si="38"/>
        <v>0</v>
      </c>
      <c r="H144" s="135"/>
      <c r="I144" s="136"/>
      <c r="J144" s="136">
        <f>32.6-0.2</f>
        <v>32.4</v>
      </c>
      <c r="K144" s="137"/>
      <c r="L144" s="125" t="s">
        <v>113</v>
      </c>
      <c r="M144" s="118"/>
    </row>
    <row r="145" spans="1:13" ht="24.75" customHeight="1">
      <c r="A145" s="22"/>
      <c r="B145" s="111"/>
      <c r="C145" s="111"/>
      <c r="D145" s="126">
        <v>2021</v>
      </c>
      <c r="E145" s="127">
        <f>F145+G145+J145+K145</f>
        <v>695.46</v>
      </c>
      <c r="F145" s="129">
        <f>SUM(F146:F153)</f>
        <v>0</v>
      </c>
      <c r="G145" s="129">
        <f>SUM(G146:G153)</f>
        <v>0</v>
      </c>
      <c r="H145" s="129">
        <f>SUM(H146:H153)</f>
        <v>0</v>
      </c>
      <c r="I145" s="129">
        <f>SUM(I146:I153)</f>
        <v>0</v>
      </c>
      <c r="J145" s="129">
        <f>SUM(J146:J153)</f>
        <v>695.46</v>
      </c>
      <c r="K145" s="140"/>
      <c r="L145" s="141"/>
      <c r="M145" s="118"/>
    </row>
    <row r="146" spans="1:13" ht="24.75" customHeight="1">
      <c r="A146" s="22"/>
      <c r="B146" s="111"/>
      <c r="C146" s="111"/>
      <c r="D146" s="126"/>
      <c r="E146" s="127"/>
      <c r="F146" s="131"/>
      <c r="G146" s="132"/>
      <c r="H146" s="131"/>
      <c r="I146" s="132"/>
      <c r="J146" s="132">
        <v>0</v>
      </c>
      <c r="K146" s="133"/>
      <c r="L146" s="121" t="s">
        <v>114</v>
      </c>
      <c r="M146" s="118"/>
    </row>
    <row r="147" spans="1:13" ht="24.75" customHeight="1">
      <c r="A147" s="22"/>
      <c r="B147" s="111"/>
      <c r="C147" s="111"/>
      <c r="D147" s="126"/>
      <c r="E147" s="127"/>
      <c r="F147" s="83"/>
      <c r="G147" s="80"/>
      <c r="H147" s="83"/>
      <c r="I147" s="80"/>
      <c r="J147" s="80">
        <v>36.66339</v>
      </c>
      <c r="K147" s="134"/>
      <c r="L147" s="55" t="s">
        <v>108</v>
      </c>
      <c r="M147" s="118"/>
    </row>
    <row r="148" spans="1:13" ht="24.75" customHeight="1">
      <c r="A148" s="22"/>
      <c r="B148" s="111"/>
      <c r="C148" s="111"/>
      <c r="D148" s="126"/>
      <c r="E148" s="127"/>
      <c r="F148" s="83"/>
      <c r="G148" s="80"/>
      <c r="H148" s="83"/>
      <c r="I148" s="80"/>
      <c r="J148" s="80">
        <v>68.07261</v>
      </c>
      <c r="K148" s="134"/>
      <c r="L148" s="55" t="s">
        <v>109</v>
      </c>
      <c r="M148" s="118"/>
    </row>
    <row r="149" spans="1:13" ht="24.75" customHeight="1">
      <c r="A149" s="22"/>
      <c r="B149" s="111"/>
      <c r="C149" s="111"/>
      <c r="D149" s="126"/>
      <c r="E149" s="127"/>
      <c r="F149" s="83"/>
      <c r="G149" s="80"/>
      <c r="H149" s="83"/>
      <c r="I149" s="80"/>
      <c r="J149" s="80">
        <v>101.404</v>
      </c>
      <c r="K149" s="134"/>
      <c r="L149" s="55" t="s">
        <v>110</v>
      </c>
      <c r="M149" s="118"/>
    </row>
    <row r="150" spans="1:13" ht="24.75" customHeight="1">
      <c r="A150" s="22"/>
      <c r="B150" s="111"/>
      <c r="C150" s="111"/>
      <c r="D150" s="126"/>
      <c r="E150" s="127"/>
      <c r="F150" s="80"/>
      <c r="G150" s="80"/>
      <c r="H150" s="83"/>
      <c r="I150" s="80"/>
      <c r="J150" s="80">
        <v>30.44</v>
      </c>
      <c r="K150" s="134"/>
      <c r="L150" s="55" t="s">
        <v>111</v>
      </c>
      <c r="M150" s="118"/>
    </row>
    <row r="151" spans="1:13" ht="24.75" customHeight="1">
      <c r="A151" s="22"/>
      <c r="B151" s="111"/>
      <c r="C151" s="111"/>
      <c r="D151" s="126"/>
      <c r="E151" s="127"/>
      <c r="F151" s="83"/>
      <c r="G151" s="80"/>
      <c r="H151" s="83"/>
      <c r="I151" s="80"/>
      <c r="J151" s="80">
        <v>234.44</v>
      </c>
      <c r="K151" s="134"/>
      <c r="L151" s="55" t="s">
        <v>112</v>
      </c>
      <c r="M151" s="118"/>
    </row>
    <row r="152" spans="1:13" ht="24.75" customHeight="1">
      <c r="A152" s="22"/>
      <c r="B152" s="111"/>
      <c r="C152" s="111"/>
      <c r="D152" s="126"/>
      <c r="E152" s="127"/>
      <c r="F152" s="142"/>
      <c r="G152" s="143"/>
      <c r="H152" s="142"/>
      <c r="I152" s="143"/>
      <c r="J152" s="143">
        <v>24.44</v>
      </c>
      <c r="K152" s="144"/>
      <c r="L152" s="55" t="s">
        <v>113</v>
      </c>
      <c r="M152" s="118"/>
    </row>
    <row r="153" spans="1:13" ht="24.75" customHeight="1">
      <c r="A153" s="22"/>
      <c r="B153" s="96" t="s">
        <v>115</v>
      </c>
      <c r="C153" s="96"/>
      <c r="D153" s="126"/>
      <c r="E153" s="127"/>
      <c r="F153" s="135"/>
      <c r="G153" s="136"/>
      <c r="H153" s="135"/>
      <c r="I153" s="136"/>
      <c r="J153" s="136">
        <v>200</v>
      </c>
      <c r="K153" s="137"/>
      <c r="L153" s="117" t="s">
        <v>113</v>
      </c>
      <c r="M153" s="118"/>
    </row>
    <row r="154" spans="1:13" ht="24.75" customHeight="1">
      <c r="A154" s="22"/>
      <c r="B154" s="145"/>
      <c r="C154" s="146"/>
      <c r="D154" s="147">
        <v>2022</v>
      </c>
      <c r="E154" s="148">
        <f>I154+J154</f>
        <v>6429.78</v>
      </c>
      <c r="F154" s="149">
        <f>SUM(F155:F161)</f>
        <v>0</v>
      </c>
      <c r="G154" s="150">
        <f>SUM(G155:G161)</f>
        <v>0</v>
      </c>
      <c r="H154" s="150">
        <f>SUM(H155:H161)</f>
        <v>0</v>
      </c>
      <c r="I154" s="150">
        <f>SUM(I155:I161)</f>
        <v>6217.0599999999995</v>
      </c>
      <c r="J154" s="150">
        <f>SUM(J155:J161)</f>
        <v>212.72</v>
      </c>
      <c r="K154" s="151"/>
      <c r="L154" s="152"/>
      <c r="M154" s="118"/>
    </row>
    <row r="155" spans="1:13" ht="24.75" customHeight="1">
      <c r="A155" s="22"/>
      <c r="B155" s="145"/>
      <c r="C155" s="146"/>
      <c r="D155" s="147"/>
      <c r="E155" s="153"/>
      <c r="F155" s="131"/>
      <c r="G155" s="132"/>
      <c r="H155" s="131"/>
      <c r="I155" s="132"/>
      <c r="J155" s="132">
        <v>0</v>
      </c>
      <c r="K155" s="154"/>
      <c r="L155" s="155" t="s">
        <v>114</v>
      </c>
      <c r="M155" s="118"/>
    </row>
    <row r="156" spans="1:13" ht="24.75" customHeight="1">
      <c r="A156" s="22"/>
      <c r="B156" s="145"/>
      <c r="C156" s="146"/>
      <c r="D156" s="147"/>
      <c r="E156" s="153"/>
      <c r="F156" s="83"/>
      <c r="G156" s="80"/>
      <c r="H156" s="83"/>
      <c r="I156" s="80">
        <v>785.52</v>
      </c>
      <c r="J156" s="80">
        <v>34.6</v>
      </c>
      <c r="K156" s="156"/>
      <c r="L156" s="55" t="s">
        <v>108</v>
      </c>
      <c r="M156" s="118"/>
    </row>
    <row r="157" spans="1:13" ht="24.75" customHeight="1">
      <c r="A157" s="22"/>
      <c r="B157" s="145"/>
      <c r="C157" s="146"/>
      <c r="D157" s="147"/>
      <c r="E157" s="153"/>
      <c r="F157" s="83"/>
      <c r="G157" s="80"/>
      <c r="H157" s="83"/>
      <c r="I157" s="80">
        <v>785.52</v>
      </c>
      <c r="J157" s="80">
        <v>34.6</v>
      </c>
      <c r="K157" s="156"/>
      <c r="L157" s="55" t="s">
        <v>109</v>
      </c>
      <c r="M157" s="118"/>
    </row>
    <row r="158" spans="1:13" ht="24.75" customHeight="1">
      <c r="A158" s="22"/>
      <c r="B158" s="145"/>
      <c r="C158" s="146"/>
      <c r="D158" s="147"/>
      <c r="E158" s="153"/>
      <c r="F158" s="83"/>
      <c r="G158" s="80"/>
      <c r="H158" s="83"/>
      <c r="I158" s="80">
        <v>785.52</v>
      </c>
      <c r="J158" s="80">
        <v>34.6</v>
      </c>
      <c r="K158" s="156"/>
      <c r="L158" s="55" t="s">
        <v>110</v>
      </c>
      <c r="M158" s="118"/>
    </row>
    <row r="159" spans="1:13" ht="24.75" customHeight="1">
      <c r="A159" s="22"/>
      <c r="B159" s="145"/>
      <c r="C159" s="146"/>
      <c r="D159" s="147"/>
      <c r="E159" s="153"/>
      <c r="F159" s="83"/>
      <c r="G159" s="80"/>
      <c r="H159" s="83"/>
      <c r="I159" s="80">
        <v>559.1</v>
      </c>
      <c r="J159" s="80">
        <v>34.12</v>
      </c>
      <c r="K159" s="156"/>
      <c r="L159" s="55" t="s">
        <v>111</v>
      </c>
      <c r="M159" s="118"/>
    </row>
    <row r="160" spans="1:13" ht="24.75" customHeight="1">
      <c r="A160" s="22"/>
      <c r="B160" s="145"/>
      <c r="C160" s="146"/>
      <c r="D160" s="147"/>
      <c r="E160" s="153"/>
      <c r="F160" s="83"/>
      <c r="G160" s="80"/>
      <c r="H160" s="83"/>
      <c r="I160" s="80">
        <v>1144.6</v>
      </c>
      <c r="J160" s="80">
        <v>37.4</v>
      </c>
      <c r="K160" s="156"/>
      <c r="L160" s="55" t="s">
        <v>112</v>
      </c>
      <c r="M160" s="118"/>
    </row>
    <row r="161" spans="1:13" ht="24.75" customHeight="1">
      <c r="A161" s="22"/>
      <c r="B161" s="145"/>
      <c r="C161" s="146"/>
      <c r="D161" s="147"/>
      <c r="E161" s="153"/>
      <c r="F161" s="142"/>
      <c r="G161" s="143"/>
      <c r="H161" s="142"/>
      <c r="I161" s="143">
        <v>2156.8</v>
      </c>
      <c r="J161" s="143">
        <v>37.4</v>
      </c>
      <c r="K161" s="157"/>
      <c r="L161" s="125" t="s">
        <v>113</v>
      </c>
      <c r="M161" s="118"/>
    </row>
    <row r="162" spans="1:13" ht="24.75" customHeight="1">
      <c r="A162" s="22"/>
      <c r="B162" s="145"/>
      <c r="C162" s="146"/>
      <c r="D162" s="158">
        <v>2023</v>
      </c>
      <c r="E162" s="128">
        <f>F162+G162+J162+K162</f>
        <v>0</v>
      </c>
      <c r="F162" s="159">
        <f>SUM(F163:F168)</f>
        <v>0</v>
      </c>
      <c r="G162" s="159">
        <f>H162+I162</f>
        <v>0</v>
      </c>
      <c r="H162" s="159">
        <f>SUM(H163:H168)</f>
        <v>0</v>
      </c>
      <c r="I162" s="159">
        <f>SUM(I163:I168)</f>
        <v>0</v>
      </c>
      <c r="J162" s="159">
        <f>SUM(J163:J168)</f>
        <v>0</v>
      </c>
      <c r="K162" s="160"/>
      <c r="L162" s="130"/>
      <c r="M162" s="118"/>
    </row>
    <row r="163" spans="1:13" ht="24.75" customHeight="1">
      <c r="A163" s="22"/>
      <c r="B163" s="145"/>
      <c r="C163" s="146"/>
      <c r="D163" s="158"/>
      <c r="E163" s="161"/>
      <c r="F163" s="131"/>
      <c r="G163" s="132"/>
      <c r="H163" s="131"/>
      <c r="I163" s="132"/>
      <c r="J163" s="80">
        <v>0</v>
      </c>
      <c r="K163" s="154"/>
      <c r="L163" s="55" t="s">
        <v>108</v>
      </c>
      <c r="M163" s="118"/>
    </row>
    <row r="164" spans="1:13" ht="24.75" customHeight="1">
      <c r="A164" s="22"/>
      <c r="B164" s="145"/>
      <c r="C164" s="146"/>
      <c r="D164" s="158"/>
      <c r="E164" s="161"/>
      <c r="F164" s="83"/>
      <c r="G164" s="80"/>
      <c r="H164" s="83"/>
      <c r="I164" s="80"/>
      <c r="J164" s="80">
        <v>0</v>
      </c>
      <c r="K164" s="156"/>
      <c r="L164" s="55" t="s">
        <v>109</v>
      </c>
      <c r="M164" s="118"/>
    </row>
    <row r="165" spans="1:13" ht="24.75" customHeight="1">
      <c r="A165" s="22"/>
      <c r="B165" s="145"/>
      <c r="C165" s="146"/>
      <c r="D165" s="158"/>
      <c r="E165" s="161"/>
      <c r="F165" s="83"/>
      <c r="G165" s="80"/>
      <c r="H165" s="83"/>
      <c r="I165" s="80"/>
      <c r="J165" s="80">
        <v>0</v>
      </c>
      <c r="K165" s="156"/>
      <c r="L165" s="55" t="s">
        <v>110</v>
      </c>
      <c r="M165" s="118"/>
    </row>
    <row r="166" spans="1:13" ht="24.75" customHeight="1">
      <c r="A166" s="22"/>
      <c r="B166" s="145"/>
      <c r="C166" s="146"/>
      <c r="D166" s="158"/>
      <c r="E166" s="161"/>
      <c r="F166" s="83"/>
      <c r="G166" s="80"/>
      <c r="H166" s="83"/>
      <c r="I166" s="80"/>
      <c r="J166" s="80">
        <v>0</v>
      </c>
      <c r="K166" s="156"/>
      <c r="L166" s="55" t="s">
        <v>111</v>
      </c>
      <c r="M166" s="118"/>
    </row>
    <row r="167" spans="1:13" ht="24.75" customHeight="1">
      <c r="A167" s="22"/>
      <c r="B167" s="145"/>
      <c r="C167" s="146"/>
      <c r="D167" s="158"/>
      <c r="E167" s="161"/>
      <c r="F167" s="83"/>
      <c r="G167" s="80"/>
      <c r="H167" s="83"/>
      <c r="I167" s="80"/>
      <c r="J167" s="80">
        <v>0</v>
      </c>
      <c r="K167" s="156"/>
      <c r="L167" s="55" t="s">
        <v>112</v>
      </c>
      <c r="M167" s="118"/>
    </row>
    <row r="168" spans="1:13" ht="24.75" customHeight="1">
      <c r="A168" s="22"/>
      <c r="B168" s="162"/>
      <c r="C168" s="163"/>
      <c r="D168" s="158"/>
      <c r="E168" s="161"/>
      <c r="F168" s="142"/>
      <c r="G168" s="143"/>
      <c r="H168" s="142"/>
      <c r="I168" s="143"/>
      <c r="J168" s="80">
        <v>0</v>
      </c>
      <c r="K168" s="144"/>
      <c r="L168" s="125" t="s">
        <v>113</v>
      </c>
      <c r="M168" s="118"/>
    </row>
    <row r="169" spans="1:13" ht="27.75" customHeight="1">
      <c r="A169" s="164" t="s">
        <v>116</v>
      </c>
      <c r="B169" s="165" t="s">
        <v>117</v>
      </c>
      <c r="C169" s="165"/>
      <c r="D169" s="126">
        <v>2019</v>
      </c>
      <c r="E169" s="138">
        <f>F169+G169+J169+K169</f>
        <v>47.04</v>
      </c>
      <c r="F169" s="166">
        <f>SUM(F170:F175)</f>
        <v>0</v>
      </c>
      <c r="G169" s="159">
        <f aca="true" t="shared" si="39" ref="G169:G191">H169+I169</f>
        <v>0</v>
      </c>
      <c r="H169" s="129">
        <f>SUM(H170:H175)</f>
        <v>0</v>
      </c>
      <c r="I169" s="129">
        <f>SUM(I170:I175)</f>
        <v>0</v>
      </c>
      <c r="J169" s="129">
        <f>SUM(J170:J175)</f>
        <v>47.04</v>
      </c>
      <c r="K169" s="140"/>
      <c r="L169" s="152"/>
      <c r="M169" s="118"/>
    </row>
    <row r="170" spans="1:13" ht="24.75" customHeight="1">
      <c r="A170" s="164"/>
      <c r="B170" s="165"/>
      <c r="C170" s="165"/>
      <c r="D170" s="126"/>
      <c r="E170" s="138"/>
      <c r="F170" s="167"/>
      <c r="G170" s="132">
        <f t="shared" si="39"/>
        <v>0</v>
      </c>
      <c r="H170" s="131"/>
      <c r="I170" s="132"/>
      <c r="J170" s="132">
        <v>4.5</v>
      </c>
      <c r="K170" s="133"/>
      <c r="L170" s="121" t="s">
        <v>118</v>
      </c>
      <c r="M170" s="118"/>
    </row>
    <row r="171" spans="1:13" ht="24.75" customHeight="1">
      <c r="A171" s="164"/>
      <c r="B171" s="165"/>
      <c r="C171" s="165"/>
      <c r="D171" s="126"/>
      <c r="E171" s="138"/>
      <c r="F171" s="168"/>
      <c r="G171" s="80">
        <f t="shared" si="39"/>
        <v>0</v>
      </c>
      <c r="H171" s="83"/>
      <c r="I171" s="80"/>
      <c r="J171" s="80">
        <v>6</v>
      </c>
      <c r="K171" s="134"/>
      <c r="L171" s="55" t="s">
        <v>119</v>
      </c>
      <c r="M171" s="118"/>
    </row>
    <row r="172" spans="1:13" ht="24.75" customHeight="1">
      <c r="A172" s="164"/>
      <c r="B172" s="165"/>
      <c r="C172" s="165"/>
      <c r="D172" s="126"/>
      <c r="E172" s="138"/>
      <c r="F172" s="168"/>
      <c r="G172" s="80">
        <f t="shared" si="39"/>
        <v>0</v>
      </c>
      <c r="H172" s="83"/>
      <c r="I172" s="80"/>
      <c r="J172" s="80">
        <v>4.5</v>
      </c>
      <c r="K172" s="134"/>
      <c r="L172" s="55" t="s">
        <v>120</v>
      </c>
      <c r="M172" s="118"/>
    </row>
    <row r="173" spans="1:13" ht="24.75" customHeight="1">
      <c r="A173" s="164"/>
      <c r="B173" s="165"/>
      <c r="C173" s="165"/>
      <c r="D173" s="126"/>
      <c r="E173" s="138"/>
      <c r="F173" s="168"/>
      <c r="G173" s="80">
        <f t="shared" si="39"/>
        <v>0</v>
      </c>
      <c r="H173" s="83"/>
      <c r="I173" s="80"/>
      <c r="J173" s="80">
        <v>20.04</v>
      </c>
      <c r="K173" s="134"/>
      <c r="L173" s="55" t="s">
        <v>106</v>
      </c>
      <c r="M173" s="118"/>
    </row>
    <row r="174" spans="1:13" ht="24.75" customHeight="1">
      <c r="A174" s="164"/>
      <c r="B174" s="165"/>
      <c r="C174" s="165"/>
      <c r="D174" s="126"/>
      <c r="E174" s="138"/>
      <c r="F174" s="168"/>
      <c r="G174" s="80">
        <f t="shared" si="39"/>
        <v>0</v>
      </c>
      <c r="H174" s="83"/>
      <c r="I174" s="80"/>
      <c r="J174" s="80">
        <v>12</v>
      </c>
      <c r="K174" s="134"/>
      <c r="L174" s="55" t="s">
        <v>121</v>
      </c>
      <c r="M174" s="118"/>
    </row>
    <row r="175" spans="1:13" ht="24.75" customHeight="1">
      <c r="A175" s="164"/>
      <c r="B175" s="165"/>
      <c r="C175" s="165"/>
      <c r="D175" s="126"/>
      <c r="E175" s="138"/>
      <c r="F175" s="169"/>
      <c r="G175" s="136">
        <f t="shared" si="39"/>
        <v>0</v>
      </c>
      <c r="H175" s="135"/>
      <c r="I175" s="136"/>
      <c r="J175" s="136">
        <v>0</v>
      </c>
      <c r="K175" s="137"/>
      <c r="L175" s="125"/>
      <c r="M175" s="118"/>
    </row>
    <row r="176" spans="1:13" ht="24.75" customHeight="1">
      <c r="A176" s="164"/>
      <c r="B176" s="165"/>
      <c r="C176" s="165"/>
      <c r="D176" s="126">
        <v>2020</v>
      </c>
      <c r="E176" s="127">
        <f>F176+G176+J176+K176</f>
        <v>39.64</v>
      </c>
      <c r="F176" s="170"/>
      <c r="G176" s="171">
        <f t="shared" si="39"/>
        <v>0</v>
      </c>
      <c r="H176" s="171">
        <f>H177+H178+H179+H180+H182+H183</f>
        <v>0</v>
      </c>
      <c r="I176" s="171">
        <f>I177+I178+I179+I180+I182+I183</f>
        <v>0</v>
      </c>
      <c r="J176" s="171">
        <f>SUM(J177:J183)</f>
        <v>39.64</v>
      </c>
      <c r="K176" s="172">
        <f>K177+K178+K179+K180+K182+K183</f>
        <v>0</v>
      </c>
      <c r="L176" s="152"/>
      <c r="M176" s="118"/>
    </row>
    <row r="177" spans="1:13" ht="25.5" customHeight="1">
      <c r="A177" s="164"/>
      <c r="B177" s="165"/>
      <c r="C177" s="165"/>
      <c r="D177" s="126"/>
      <c r="E177" s="127"/>
      <c r="F177" s="41"/>
      <c r="G177" s="41">
        <f t="shared" si="39"/>
        <v>0</v>
      </c>
      <c r="H177" s="41"/>
      <c r="I177" s="119"/>
      <c r="J177" s="119">
        <f>12-7.4</f>
        <v>4.6</v>
      </c>
      <c r="K177" s="41"/>
      <c r="L177" s="121" t="s">
        <v>114</v>
      </c>
      <c r="M177" s="118"/>
    </row>
    <row r="178" spans="1:13" ht="24.75" customHeight="1">
      <c r="A178" s="164"/>
      <c r="B178" s="165"/>
      <c r="C178" s="165"/>
      <c r="D178" s="126"/>
      <c r="E178" s="127"/>
      <c r="F178" s="32"/>
      <c r="G178" s="32">
        <f t="shared" si="39"/>
        <v>0</v>
      </c>
      <c r="H178" s="32"/>
      <c r="I178" s="33"/>
      <c r="J178" s="33">
        <v>4.5</v>
      </c>
      <c r="K178" s="32"/>
      <c r="L178" s="121" t="s">
        <v>118</v>
      </c>
      <c r="M178" s="118"/>
    </row>
    <row r="179" spans="1:13" ht="24.75" customHeight="1">
      <c r="A179" s="164"/>
      <c r="B179" s="165"/>
      <c r="C179" s="165"/>
      <c r="D179" s="126"/>
      <c r="E179" s="127"/>
      <c r="F179" s="32"/>
      <c r="G179" s="32">
        <f t="shared" si="39"/>
        <v>0</v>
      </c>
      <c r="H179" s="32"/>
      <c r="I179" s="33"/>
      <c r="J179" s="33">
        <v>6</v>
      </c>
      <c r="K179" s="32"/>
      <c r="L179" s="55" t="s">
        <v>119</v>
      </c>
      <c r="M179" s="118"/>
    </row>
    <row r="180" spans="1:13" ht="24.75" customHeight="1">
      <c r="A180" s="164"/>
      <c r="B180" s="165"/>
      <c r="C180" s="165"/>
      <c r="D180" s="126"/>
      <c r="E180" s="127"/>
      <c r="F180" s="32"/>
      <c r="G180" s="32">
        <f t="shared" si="39"/>
        <v>0</v>
      </c>
      <c r="H180" s="32"/>
      <c r="I180" s="33"/>
      <c r="J180" s="33">
        <v>4.5</v>
      </c>
      <c r="K180" s="32"/>
      <c r="L180" s="55" t="s">
        <v>120</v>
      </c>
      <c r="M180" s="118"/>
    </row>
    <row r="181" spans="1:13" ht="24.75" customHeight="1">
      <c r="A181" s="164"/>
      <c r="B181" s="165"/>
      <c r="C181" s="165"/>
      <c r="D181" s="126"/>
      <c r="E181" s="127"/>
      <c r="F181" s="32"/>
      <c r="G181" s="32">
        <f t="shared" si="39"/>
        <v>0</v>
      </c>
      <c r="H181" s="32"/>
      <c r="I181" s="33"/>
      <c r="J181" s="80">
        <v>20.04</v>
      </c>
      <c r="K181" s="134"/>
      <c r="L181" s="55" t="s">
        <v>106</v>
      </c>
      <c r="M181" s="118"/>
    </row>
    <row r="182" spans="1:13" ht="24.75" customHeight="1">
      <c r="A182" s="164"/>
      <c r="B182" s="165"/>
      <c r="C182" s="165"/>
      <c r="D182" s="126"/>
      <c r="E182" s="127"/>
      <c r="F182" s="32"/>
      <c r="G182" s="32">
        <f t="shared" si="39"/>
        <v>0</v>
      </c>
      <c r="H182" s="32"/>
      <c r="I182" s="33"/>
      <c r="J182" s="33">
        <v>0</v>
      </c>
      <c r="K182" s="32"/>
      <c r="L182" s="55" t="s">
        <v>112</v>
      </c>
      <c r="M182" s="118"/>
    </row>
    <row r="183" spans="1:13" ht="24.75" customHeight="1">
      <c r="A183" s="164"/>
      <c r="B183" s="165"/>
      <c r="C183" s="165"/>
      <c r="D183" s="126"/>
      <c r="E183" s="127"/>
      <c r="F183" s="122"/>
      <c r="G183" s="122">
        <f t="shared" si="39"/>
        <v>0</v>
      </c>
      <c r="H183" s="122"/>
      <c r="I183" s="124"/>
      <c r="J183" s="124">
        <v>0</v>
      </c>
      <c r="K183" s="122"/>
      <c r="L183" s="125" t="s">
        <v>113</v>
      </c>
      <c r="M183" s="118"/>
    </row>
    <row r="184" spans="1:13" ht="24.75" customHeight="1">
      <c r="A184" s="164"/>
      <c r="B184" s="165"/>
      <c r="C184" s="165"/>
      <c r="D184" s="126">
        <v>2021</v>
      </c>
      <c r="E184" s="127">
        <f>F184+G184+J184+K184</f>
        <v>0</v>
      </c>
      <c r="F184" s="170"/>
      <c r="G184" s="171">
        <f t="shared" si="39"/>
        <v>0</v>
      </c>
      <c r="H184" s="171">
        <f>H185+H186+H187+H188+H190+H191</f>
        <v>0</v>
      </c>
      <c r="I184" s="171">
        <f>I185+I186+I187+I188+I190+I191</f>
        <v>0</v>
      </c>
      <c r="J184" s="171">
        <f>SUM(J185:J191)</f>
        <v>0</v>
      </c>
      <c r="K184" s="171">
        <f>K185+K186+K187+K188+K190+K191</f>
        <v>0</v>
      </c>
      <c r="L184" s="130"/>
      <c r="M184" s="118"/>
    </row>
    <row r="185" spans="1:13" ht="19.5" customHeight="1">
      <c r="A185" s="164"/>
      <c r="B185" s="165"/>
      <c r="C185" s="165"/>
      <c r="D185" s="126"/>
      <c r="E185" s="127"/>
      <c r="F185" s="41"/>
      <c r="G185" s="41">
        <f t="shared" si="39"/>
        <v>0</v>
      </c>
      <c r="H185" s="41"/>
      <c r="I185" s="119"/>
      <c r="J185" s="33">
        <v>0</v>
      </c>
      <c r="K185" s="41"/>
      <c r="L185" s="121" t="s">
        <v>114</v>
      </c>
      <c r="M185" s="118"/>
    </row>
    <row r="186" spans="1:13" ht="20.25" customHeight="1">
      <c r="A186" s="164"/>
      <c r="B186" s="165"/>
      <c r="C186" s="165"/>
      <c r="D186" s="126"/>
      <c r="E186" s="127"/>
      <c r="F186" s="32"/>
      <c r="G186" s="32">
        <f t="shared" si="39"/>
        <v>0</v>
      </c>
      <c r="H186" s="32"/>
      <c r="I186" s="33"/>
      <c r="J186" s="33">
        <v>0</v>
      </c>
      <c r="K186" s="32"/>
      <c r="L186" s="121" t="s">
        <v>118</v>
      </c>
      <c r="M186" s="118"/>
    </row>
    <row r="187" spans="1:13" ht="21" customHeight="1">
      <c r="A187" s="164"/>
      <c r="B187" s="165"/>
      <c r="C187" s="165"/>
      <c r="D187" s="126"/>
      <c r="E187" s="127"/>
      <c r="F187" s="32"/>
      <c r="G187" s="32">
        <f t="shared" si="39"/>
        <v>0</v>
      </c>
      <c r="H187" s="32"/>
      <c r="I187" s="33"/>
      <c r="J187" s="33">
        <v>0</v>
      </c>
      <c r="K187" s="32"/>
      <c r="L187" s="55" t="s">
        <v>119</v>
      </c>
      <c r="M187" s="118"/>
    </row>
    <row r="188" spans="1:13" ht="20.25" customHeight="1">
      <c r="A188" s="164"/>
      <c r="B188" s="165"/>
      <c r="C188" s="165"/>
      <c r="D188" s="126"/>
      <c r="E188" s="127"/>
      <c r="F188" s="32"/>
      <c r="G188" s="32">
        <f t="shared" si="39"/>
        <v>0</v>
      </c>
      <c r="H188" s="32"/>
      <c r="I188" s="33"/>
      <c r="J188" s="33">
        <v>0</v>
      </c>
      <c r="K188" s="32"/>
      <c r="L188" s="55" t="s">
        <v>120</v>
      </c>
      <c r="M188" s="118"/>
    </row>
    <row r="189" spans="1:13" ht="21" customHeight="1">
      <c r="A189" s="164"/>
      <c r="B189" s="165"/>
      <c r="C189" s="165"/>
      <c r="D189" s="126"/>
      <c r="E189" s="127"/>
      <c r="F189" s="32"/>
      <c r="G189" s="32">
        <f t="shared" si="39"/>
        <v>0</v>
      </c>
      <c r="H189" s="32"/>
      <c r="I189" s="33"/>
      <c r="J189" s="33">
        <v>0</v>
      </c>
      <c r="K189" s="32"/>
      <c r="L189" s="55" t="s">
        <v>106</v>
      </c>
      <c r="M189" s="118"/>
    </row>
    <row r="190" spans="1:13" ht="18.75" customHeight="1">
      <c r="A190" s="164"/>
      <c r="B190" s="165"/>
      <c r="C190" s="165"/>
      <c r="D190" s="126"/>
      <c r="E190" s="127"/>
      <c r="F190" s="32"/>
      <c r="G190" s="32">
        <f t="shared" si="39"/>
        <v>0</v>
      </c>
      <c r="H190" s="32"/>
      <c r="I190" s="33"/>
      <c r="J190" s="33">
        <v>0</v>
      </c>
      <c r="K190" s="32"/>
      <c r="L190" s="55" t="s">
        <v>112</v>
      </c>
      <c r="M190" s="118"/>
    </row>
    <row r="191" spans="1:13" ht="17.25" customHeight="1">
      <c r="A191" s="164"/>
      <c r="B191" s="165"/>
      <c r="C191" s="165"/>
      <c r="D191" s="126"/>
      <c r="E191" s="127"/>
      <c r="F191" s="122"/>
      <c r="G191" s="122">
        <f t="shared" si="39"/>
        <v>0</v>
      </c>
      <c r="H191" s="122"/>
      <c r="I191" s="124"/>
      <c r="J191" s="124">
        <v>0</v>
      </c>
      <c r="K191" s="122"/>
      <c r="L191" s="125" t="s">
        <v>113</v>
      </c>
      <c r="M191" s="118"/>
    </row>
    <row r="192" spans="1:13" ht="24" customHeight="1">
      <c r="A192" s="164"/>
      <c r="B192" s="165"/>
      <c r="C192" s="165"/>
      <c r="D192" s="173">
        <v>2022</v>
      </c>
      <c r="E192" s="174">
        <f>F192+G192+J192+K192</f>
        <v>0</v>
      </c>
      <c r="F192" s="170"/>
      <c r="G192" s="171">
        <f>SUM(G193:G199)</f>
        <v>0</v>
      </c>
      <c r="H192" s="171">
        <f>SUM(H193:H199)</f>
        <v>0</v>
      </c>
      <c r="I192" s="171">
        <f>SUM(I193:I199)</f>
        <v>0</v>
      </c>
      <c r="J192" s="171">
        <f>SUM(J193:J199)</f>
        <v>0</v>
      </c>
      <c r="K192" s="171">
        <f>SUM(K193:K199)</f>
        <v>0</v>
      </c>
      <c r="L192" s="139"/>
      <c r="M192" s="175"/>
    </row>
    <row r="193" spans="1:13" ht="23.25" customHeight="1">
      <c r="A193" s="164"/>
      <c r="B193" s="165"/>
      <c r="C193" s="165"/>
      <c r="D193" s="173"/>
      <c r="E193" s="174"/>
      <c r="F193" s="41"/>
      <c r="G193" s="41"/>
      <c r="H193" s="41"/>
      <c r="I193" s="119"/>
      <c r="J193" s="33">
        <v>0</v>
      </c>
      <c r="K193" s="41"/>
      <c r="L193" s="55" t="s">
        <v>114</v>
      </c>
      <c r="M193" s="176"/>
    </row>
    <row r="194" spans="1:13" ht="24.75" customHeight="1">
      <c r="A194" s="164"/>
      <c r="B194" s="165"/>
      <c r="C194" s="165"/>
      <c r="D194" s="173"/>
      <c r="E194" s="174"/>
      <c r="F194" s="32"/>
      <c r="G194" s="32"/>
      <c r="H194" s="32"/>
      <c r="I194" s="33"/>
      <c r="J194" s="33">
        <v>0</v>
      </c>
      <c r="K194" s="32"/>
      <c r="L194" s="121" t="s">
        <v>118</v>
      </c>
      <c r="M194" s="176"/>
    </row>
    <row r="195" spans="1:13" ht="24.75" customHeight="1">
      <c r="A195" s="164"/>
      <c r="B195" s="165"/>
      <c r="C195" s="165"/>
      <c r="D195" s="173"/>
      <c r="E195" s="174"/>
      <c r="F195" s="32"/>
      <c r="G195" s="32"/>
      <c r="H195" s="32"/>
      <c r="I195" s="33"/>
      <c r="J195" s="33">
        <v>0</v>
      </c>
      <c r="K195" s="32"/>
      <c r="L195" s="55" t="s">
        <v>119</v>
      </c>
      <c r="M195" s="176"/>
    </row>
    <row r="196" spans="1:13" ht="24.75" customHeight="1">
      <c r="A196" s="164"/>
      <c r="B196" s="165"/>
      <c r="C196" s="165"/>
      <c r="D196" s="173"/>
      <c r="E196" s="174"/>
      <c r="F196" s="32"/>
      <c r="G196" s="32"/>
      <c r="H196" s="32"/>
      <c r="I196" s="33"/>
      <c r="J196" s="33">
        <v>0</v>
      </c>
      <c r="K196" s="32"/>
      <c r="L196" s="55" t="s">
        <v>120</v>
      </c>
      <c r="M196" s="176"/>
    </row>
    <row r="197" spans="1:13" ht="24.75" customHeight="1">
      <c r="A197" s="164"/>
      <c r="B197" s="165"/>
      <c r="C197" s="165"/>
      <c r="D197" s="173"/>
      <c r="E197" s="174"/>
      <c r="F197" s="32"/>
      <c r="G197" s="32"/>
      <c r="H197" s="32"/>
      <c r="I197" s="33"/>
      <c r="J197" s="33">
        <v>0</v>
      </c>
      <c r="K197" s="32"/>
      <c r="L197" s="55" t="s">
        <v>106</v>
      </c>
      <c r="M197" s="176"/>
    </row>
    <row r="198" spans="1:13" ht="24.75" customHeight="1">
      <c r="A198" s="164"/>
      <c r="B198" s="165"/>
      <c r="C198" s="165"/>
      <c r="D198" s="173"/>
      <c r="E198" s="174"/>
      <c r="F198" s="32"/>
      <c r="G198" s="32"/>
      <c r="H198" s="32"/>
      <c r="I198" s="33"/>
      <c r="J198" s="33">
        <v>0</v>
      </c>
      <c r="K198" s="32"/>
      <c r="L198" s="55" t="s">
        <v>112</v>
      </c>
      <c r="M198" s="176"/>
    </row>
    <row r="199" spans="1:13" ht="24.75" customHeight="1">
      <c r="A199" s="164"/>
      <c r="B199" s="165"/>
      <c r="C199" s="165"/>
      <c r="D199" s="173"/>
      <c r="E199" s="174"/>
      <c r="F199" s="46"/>
      <c r="G199" s="46"/>
      <c r="H199" s="46"/>
      <c r="I199" s="47"/>
      <c r="J199" s="33">
        <v>0</v>
      </c>
      <c r="K199" s="46"/>
      <c r="L199" s="125" t="s">
        <v>113</v>
      </c>
      <c r="M199" s="177"/>
    </row>
    <row r="200" spans="1:13" ht="24.75" customHeight="1">
      <c r="A200" s="164"/>
      <c r="B200" s="165"/>
      <c r="C200" s="165"/>
      <c r="D200" s="126">
        <v>2023</v>
      </c>
      <c r="E200" s="129">
        <f>F200+G200+J200+K200</f>
        <v>0</v>
      </c>
      <c r="F200" s="171">
        <f>SUM(F201:F207)</f>
        <v>0</v>
      </c>
      <c r="G200" s="171">
        <f>H200+I200</f>
        <v>0</v>
      </c>
      <c r="H200" s="171">
        <f>SUM(H201:H207)</f>
        <v>0</v>
      </c>
      <c r="I200" s="171">
        <f>SUM(I201:I207)</f>
        <v>0</v>
      </c>
      <c r="J200" s="171">
        <f>SUM(J201:J207)</f>
        <v>0</v>
      </c>
      <c r="K200" s="171">
        <f>SUM(K201:K207)</f>
        <v>0</v>
      </c>
      <c r="L200" s="130"/>
      <c r="M200" s="118"/>
    </row>
    <row r="201" spans="1:13" ht="24.75" customHeight="1">
      <c r="A201" s="164"/>
      <c r="B201" s="165"/>
      <c r="C201" s="165"/>
      <c r="D201" s="178"/>
      <c r="E201" s="153"/>
      <c r="F201" s="41"/>
      <c r="G201" s="41"/>
      <c r="H201" s="41"/>
      <c r="I201" s="119"/>
      <c r="J201" s="33">
        <v>0</v>
      </c>
      <c r="K201" s="41"/>
      <c r="L201" s="55" t="s">
        <v>114</v>
      </c>
      <c r="M201" s="175"/>
    </row>
    <row r="202" spans="1:13" ht="24.75" customHeight="1">
      <c r="A202" s="164"/>
      <c r="B202" s="165"/>
      <c r="C202" s="165"/>
      <c r="D202" s="178"/>
      <c r="E202" s="153"/>
      <c r="F202" s="32"/>
      <c r="G202" s="32"/>
      <c r="H202" s="32"/>
      <c r="I202" s="33"/>
      <c r="J202" s="33">
        <v>0</v>
      </c>
      <c r="K202" s="32"/>
      <c r="L202" s="121" t="s">
        <v>118</v>
      </c>
      <c r="M202" s="176"/>
    </row>
    <row r="203" spans="1:13" ht="24.75" customHeight="1">
      <c r="A203" s="164"/>
      <c r="B203" s="165"/>
      <c r="C203" s="165"/>
      <c r="D203" s="178"/>
      <c r="E203" s="153"/>
      <c r="F203" s="32"/>
      <c r="G203" s="32"/>
      <c r="H203" s="32"/>
      <c r="I203" s="33"/>
      <c r="J203" s="33">
        <v>0</v>
      </c>
      <c r="K203" s="32"/>
      <c r="L203" s="55" t="s">
        <v>119</v>
      </c>
      <c r="M203" s="176"/>
    </row>
    <row r="204" spans="1:13" ht="24" customHeight="1">
      <c r="A204" s="164"/>
      <c r="B204" s="165"/>
      <c r="C204" s="165"/>
      <c r="D204" s="178"/>
      <c r="E204" s="153"/>
      <c r="F204" s="32"/>
      <c r="G204" s="32"/>
      <c r="H204" s="32"/>
      <c r="I204" s="33"/>
      <c r="J204" s="33">
        <v>0</v>
      </c>
      <c r="K204" s="32"/>
      <c r="L204" s="55" t="s">
        <v>120</v>
      </c>
      <c r="M204" s="176"/>
    </row>
    <row r="205" spans="1:13" ht="24" customHeight="1">
      <c r="A205" s="164"/>
      <c r="B205" s="165"/>
      <c r="C205" s="165"/>
      <c r="D205" s="178"/>
      <c r="E205" s="153"/>
      <c r="F205" s="32"/>
      <c r="G205" s="32"/>
      <c r="H205" s="32"/>
      <c r="I205" s="33"/>
      <c r="J205" s="33">
        <v>0</v>
      </c>
      <c r="K205" s="32"/>
      <c r="L205" s="55" t="s">
        <v>106</v>
      </c>
      <c r="M205" s="176"/>
    </row>
    <row r="206" spans="1:13" ht="24" customHeight="1">
      <c r="A206" s="164"/>
      <c r="B206" s="165"/>
      <c r="C206" s="165"/>
      <c r="D206" s="178"/>
      <c r="E206" s="153"/>
      <c r="F206" s="32"/>
      <c r="G206" s="32"/>
      <c r="H206" s="32"/>
      <c r="I206" s="33"/>
      <c r="J206" s="33">
        <v>0</v>
      </c>
      <c r="K206" s="32"/>
      <c r="L206" s="55" t="s">
        <v>112</v>
      </c>
      <c r="M206" s="176"/>
    </row>
    <row r="207" spans="1:13" ht="24.75" customHeight="1">
      <c r="A207" s="164"/>
      <c r="B207" s="165"/>
      <c r="C207" s="165"/>
      <c r="D207" s="178"/>
      <c r="E207" s="153"/>
      <c r="F207" s="46"/>
      <c r="G207" s="46"/>
      <c r="H207" s="46"/>
      <c r="I207" s="47"/>
      <c r="J207" s="33">
        <v>0</v>
      </c>
      <c r="K207" s="46"/>
      <c r="L207" s="125" t="s">
        <v>113</v>
      </c>
      <c r="M207" s="176"/>
    </row>
    <row r="208" spans="1:13" ht="33" customHeight="1">
      <c r="A208" s="179" t="s">
        <v>122</v>
      </c>
      <c r="B208" s="180" t="s">
        <v>123</v>
      </c>
      <c r="C208" s="180"/>
      <c r="D208" s="181">
        <v>2017</v>
      </c>
      <c r="E208" s="25">
        <f aca="true" t="shared" si="40" ref="E208:E218">F208+G208+J208+K208</f>
        <v>169.78</v>
      </c>
      <c r="F208" s="25"/>
      <c r="G208" s="25">
        <f aca="true" t="shared" si="41" ref="G208:G221">H208+I208</f>
        <v>155.2</v>
      </c>
      <c r="H208" s="25"/>
      <c r="I208" s="25">
        <v>155.2</v>
      </c>
      <c r="J208" s="25">
        <f>15-0.42</f>
        <v>14.58</v>
      </c>
      <c r="K208" s="25"/>
      <c r="L208" s="182" t="s">
        <v>124</v>
      </c>
      <c r="M208" s="176" t="s">
        <v>125</v>
      </c>
    </row>
    <row r="209" spans="1:13" ht="31.5" customHeight="1">
      <c r="A209" s="179"/>
      <c r="B209" s="180"/>
      <c r="C209" s="180"/>
      <c r="D209" s="183">
        <v>2018</v>
      </c>
      <c r="E209" s="32">
        <f t="shared" si="40"/>
        <v>162.2</v>
      </c>
      <c r="F209" s="32"/>
      <c r="G209" s="32">
        <f t="shared" si="41"/>
        <v>162.2</v>
      </c>
      <c r="H209" s="32"/>
      <c r="I209" s="32">
        <v>162.2</v>
      </c>
      <c r="J209" s="33"/>
      <c r="K209" s="32"/>
      <c r="L209" s="55" t="s">
        <v>124</v>
      </c>
      <c r="M209" s="176"/>
    </row>
    <row r="210" spans="1:13" ht="27.75" customHeight="1">
      <c r="A210" s="179"/>
      <c r="B210" s="180"/>
      <c r="C210" s="180"/>
      <c r="D210" s="183">
        <v>2019</v>
      </c>
      <c r="E210" s="32">
        <f t="shared" si="40"/>
        <v>481.1</v>
      </c>
      <c r="F210" s="32"/>
      <c r="G210" s="32">
        <f t="shared" si="41"/>
        <v>481.1</v>
      </c>
      <c r="H210" s="32"/>
      <c r="I210" s="32">
        <v>481.1</v>
      </c>
      <c r="J210" s="33"/>
      <c r="K210" s="32"/>
      <c r="L210" s="55" t="s">
        <v>124</v>
      </c>
      <c r="M210" s="176"/>
    </row>
    <row r="211" spans="1:13" ht="24" customHeight="1">
      <c r="A211" s="179"/>
      <c r="B211" s="180"/>
      <c r="C211" s="180"/>
      <c r="D211" s="183">
        <v>2020</v>
      </c>
      <c r="E211" s="32">
        <f t="shared" si="40"/>
        <v>163.2</v>
      </c>
      <c r="F211" s="32"/>
      <c r="G211" s="32">
        <f t="shared" si="41"/>
        <v>163.2</v>
      </c>
      <c r="H211" s="32"/>
      <c r="I211" s="32">
        <v>163.2</v>
      </c>
      <c r="J211" s="33"/>
      <c r="K211" s="32"/>
      <c r="L211" s="55" t="s">
        <v>124</v>
      </c>
      <c r="M211" s="176"/>
    </row>
    <row r="212" spans="1:13" ht="24.75" customHeight="1">
      <c r="A212" s="179"/>
      <c r="B212" s="180"/>
      <c r="C212" s="180"/>
      <c r="D212" s="183">
        <v>2021</v>
      </c>
      <c r="E212" s="32">
        <f t="shared" si="40"/>
        <v>0</v>
      </c>
      <c r="F212" s="32"/>
      <c r="G212" s="32">
        <f t="shared" si="41"/>
        <v>0</v>
      </c>
      <c r="H212" s="32"/>
      <c r="I212" s="32">
        <v>0</v>
      </c>
      <c r="J212" s="33"/>
      <c r="K212" s="32"/>
      <c r="L212" s="55" t="s">
        <v>124</v>
      </c>
      <c r="M212" s="176"/>
    </row>
    <row r="213" spans="1:13" ht="46.5" customHeight="1">
      <c r="A213" s="179"/>
      <c r="B213" s="180"/>
      <c r="C213" s="180"/>
      <c r="D213" s="15">
        <v>2022</v>
      </c>
      <c r="E213" s="32">
        <f t="shared" si="40"/>
        <v>0</v>
      </c>
      <c r="F213" s="32"/>
      <c r="G213" s="32">
        <f t="shared" si="41"/>
        <v>0</v>
      </c>
      <c r="H213" s="32"/>
      <c r="I213" s="32">
        <v>0</v>
      </c>
      <c r="J213" s="33"/>
      <c r="K213" s="32"/>
      <c r="L213" s="55" t="s">
        <v>124</v>
      </c>
      <c r="M213" s="176"/>
    </row>
    <row r="214" spans="1:13" ht="30" customHeight="1">
      <c r="A214" s="179"/>
      <c r="B214" s="180"/>
      <c r="C214" s="180"/>
      <c r="D214" s="184">
        <v>2023</v>
      </c>
      <c r="E214" s="115">
        <f t="shared" si="40"/>
        <v>0</v>
      </c>
      <c r="F214" s="115"/>
      <c r="G214" s="115">
        <f t="shared" si="41"/>
        <v>0</v>
      </c>
      <c r="H214" s="115"/>
      <c r="I214" s="115">
        <v>0</v>
      </c>
      <c r="J214" s="185"/>
      <c r="K214" s="115"/>
      <c r="L214" s="55" t="s">
        <v>124</v>
      </c>
      <c r="M214" s="176"/>
    </row>
    <row r="215" spans="1:13" ht="63.75" customHeight="1">
      <c r="A215" s="186" t="s">
        <v>126</v>
      </c>
      <c r="B215" s="180" t="s">
        <v>127</v>
      </c>
      <c r="C215" s="180"/>
      <c r="D215" s="187">
        <v>2019</v>
      </c>
      <c r="E215" s="171">
        <f t="shared" si="40"/>
        <v>96.58</v>
      </c>
      <c r="F215" s="171"/>
      <c r="G215" s="171">
        <f t="shared" si="41"/>
        <v>0</v>
      </c>
      <c r="H215" s="171"/>
      <c r="I215" s="171"/>
      <c r="J215" s="171">
        <v>96.58</v>
      </c>
      <c r="K215" s="171"/>
      <c r="L215" s="188" t="s">
        <v>128</v>
      </c>
      <c r="M215" s="176"/>
    </row>
    <row r="216" spans="1:13" ht="78.75" customHeight="1">
      <c r="A216" s="189" t="s">
        <v>129</v>
      </c>
      <c r="B216" s="190" t="s">
        <v>130</v>
      </c>
      <c r="C216" s="190"/>
      <c r="D216" s="191">
        <v>2017</v>
      </c>
      <c r="E216" s="49">
        <f t="shared" si="40"/>
        <v>2375.768</v>
      </c>
      <c r="F216" s="49"/>
      <c r="G216" s="49">
        <f t="shared" si="41"/>
        <v>0</v>
      </c>
      <c r="H216" s="192"/>
      <c r="I216" s="192"/>
      <c r="J216" s="49">
        <v>2375.768</v>
      </c>
      <c r="K216" s="49"/>
      <c r="L216" s="193" t="s">
        <v>131</v>
      </c>
      <c r="M216" s="104" t="s">
        <v>132</v>
      </c>
    </row>
    <row r="217" spans="1:13" s="199" customFormat="1" ht="46.5" customHeight="1">
      <c r="A217" s="194" t="s">
        <v>133</v>
      </c>
      <c r="B217" s="195" t="s">
        <v>134</v>
      </c>
      <c r="C217" s="195"/>
      <c r="D217" s="196">
        <v>2019</v>
      </c>
      <c r="E217" s="25">
        <f t="shared" si="40"/>
        <v>330</v>
      </c>
      <c r="F217" s="25"/>
      <c r="G217" s="25">
        <f t="shared" si="41"/>
        <v>0</v>
      </c>
      <c r="H217" s="25">
        <v>0</v>
      </c>
      <c r="I217" s="25">
        <f>I219</f>
        <v>0</v>
      </c>
      <c r="J217" s="25">
        <f>330.278-0.278</f>
        <v>330</v>
      </c>
      <c r="K217" s="25"/>
      <c r="L217" s="197" t="s">
        <v>135</v>
      </c>
      <c r="M217" s="198"/>
    </row>
    <row r="218" spans="1:13" ht="38.25" customHeight="1" hidden="1">
      <c r="A218" s="92" t="s">
        <v>129</v>
      </c>
      <c r="B218" s="195"/>
      <c r="C218" s="195"/>
      <c r="D218" s="13"/>
      <c r="E218" s="25">
        <f t="shared" si="40"/>
        <v>0</v>
      </c>
      <c r="F218" s="32"/>
      <c r="G218" s="25">
        <f t="shared" si="41"/>
        <v>0</v>
      </c>
      <c r="H218" s="33"/>
      <c r="I218" s="33"/>
      <c r="J218" s="33"/>
      <c r="K218" s="32"/>
      <c r="L218" s="96"/>
      <c r="M218" s="82"/>
    </row>
    <row r="219" spans="1:13" ht="38.25" customHeight="1">
      <c r="A219" s="200"/>
      <c r="B219" s="195"/>
      <c r="C219" s="195"/>
      <c r="D219" s="201">
        <v>2021</v>
      </c>
      <c r="E219" s="25">
        <f>J219+I219</f>
        <v>0</v>
      </c>
      <c r="F219" s="122"/>
      <c r="G219" s="25">
        <f t="shared" si="41"/>
        <v>0</v>
      </c>
      <c r="H219" s="124">
        <v>0</v>
      </c>
      <c r="I219" s="124">
        <v>0</v>
      </c>
      <c r="J219" s="124">
        <v>0</v>
      </c>
      <c r="K219" s="122"/>
      <c r="L219" s="202"/>
      <c r="M219" s="203"/>
    </row>
    <row r="220" spans="1:13" ht="91.5" customHeight="1">
      <c r="A220" s="204" t="s">
        <v>136</v>
      </c>
      <c r="B220" s="205" t="s">
        <v>137</v>
      </c>
      <c r="C220" s="205"/>
      <c r="D220" s="206">
        <v>2019</v>
      </c>
      <c r="E220" s="207">
        <f aca="true" t="shared" si="42" ref="E220:E221">F220+G220+J220+K220</f>
        <v>80.293</v>
      </c>
      <c r="F220" s="115"/>
      <c r="G220" s="185">
        <f t="shared" si="41"/>
        <v>0</v>
      </c>
      <c r="H220" s="185">
        <v>0</v>
      </c>
      <c r="I220" s="185">
        <v>0</v>
      </c>
      <c r="J220" s="185">
        <f>19+61.293</f>
        <v>80.293</v>
      </c>
      <c r="K220" s="115">
        <v>0</v>
      </c>
      <c r="L220" s="208" t="s">
        <v>63</v>
      </c>
      <c r="M220" s="209" t="s">
        <v>138</v>
      </c>
    </row>
    <row r="221" spans="1:13" ht="312" customHeight="1">
      <c r="A221" s="210" t="s">
        <v>139</v>
      </c>
      <c r="B221" s="211" t="s">
        <v>140</v>
      </c>
      <c r="C221" s="211"/>
      <c r="D221" s="212">
        <v>2019</v>
      </c>
      <c r="E221" s="213">
        <f t="shared" si="42"/>
        <v>0</v>
      </c>
      <c r="F221" s="171"/>
      <c r="G221" s="213">
        <f t="shared" si="41"/>
        <v>0</v>
      </c>
      <c r="H221" s="213">
        <v>0</v>
      </c>
      <c r="I221" s="213">
        <v>0</v>
      </c>
      <c r="J221" s="213">
        <v>0</v>
      </c>
      <c r="K221" s="171">
        <v>0</v>
      </c>
      <c r="L221" s="214" t="s">
        <v>141</v>
      </c>
      <c r="M221" s="215" t="s">
        <v>142</v>
      </c>
    </row>
    <row r="222" spans="1:13" ht="31.5" customHeight="1">
      <c r="A222" s="210" t="s">
        <v>143</v>
      </c>
      <c r="B222" s="216" t="s">
        <v>144</v>
      </c>
      <c r="C222" s="216"/>
      <c r="D222" s="217">
        <v>2020</v>
      </c>
      <c r="E222" s="171">
        <f>SUM(E223:E230)</f>
        <v>2891.4799999999996</v>
      </c>
      <c r="F222" s="171">
        <f>SUM(F223:F230)</f>
        <v>0</v>
      </c>
      <c r="G222" s="171">
        <f>SUM(G223:G230)</f>
        <v>956</v>
      </c>
      <c r="H222" s="171">
        <f>SUM(H223:H230)</f>
        <v>0</v>
      </c>
      <c r="I222" s="171">
        <f>SUM(I223:I230)</f>
        <v>956</v>
      </c>
      <c r="J222" s="171">
        <f>SUM(J223:J230)</f>
        <v>1935.48</v>
      </c>
      <c r="K222" s="171">
        <f>SUM(K223:K232)</f>
        <v>0</v>
      </c>
      <c r="L222" s="214"/>
      <c r="M222" s="215"/>
    </row>
    <row r="223" spans="1:13" ht="35.25" customHeight="1">
      <c r="A223" s="210"/>
      <c r="B223" s="216"/>
      <c r="C223" s="216"/>
      <c r="D223" s="53" t="s">
        <v>145</v>
      </c>
      <c r="E223" s="47">
        <f aca="true" t="shared" si="43" ref="E223:E231">F223+G223+J223+K223</f>
        <v>686.374</v>
      </c>
      <c r="F223" s="49"/>
      <c r="G223" s="119">
        <f aca="true" t="shared" si="44" ref="G223:G231">H223+I223</f>
        <v>0</v>
      </c>
      <c r="H223" s="48"/>
      <c r="I223" s="48">
        <v>0</v>
      </c>
      <c r="J223" s="48">
        <f>773.274-86.9</f>
        <v>686.374</v>
      </c>
      <c r="K223" s="49"/>
      <c r="L223" s="145" t="s">
        <v>146</v>
      </c>
      <c r="M223" s="218" t="s">
        <v>147</v>
      </c>
    </row>
    <row r="224" spans="1:13" ht="36" customHeight="1">
      <c r="A224" s="210"/>
      <c r="B224" s="216"/>
      <c r="C224" s="216"/>
      <c r="D224" s="30" t="s">
        <v>145</v>
      </c>
      <c r="E224" s="47">
        <f t="shared" si="43"/>
        <v>668.4</v>
      </c>
      <c r="F224" s="32"/>
      <c r="G224" s="33">
        <f t="shared" si="44"/>
        <v>581.5</v>
      </c>
      <c r="H224" s="33"/>
      <c r="I224" s="33">
        <v>581.5</v>
      </c>
      <c r="J224" s="33">
        <v>86.9</v>
      </c>
      <c r="K224" s="32"/>
      <c r="L224" s="219" t="s">
        <v>148</v>
      </c>
      <c r="M224" s="218"/>
    </row>
    <row r="225" spans="1:13" ht="31.5" customHeight="1">
      <c r="A225" s="210"/>
      <c r="B225" s="216"/>
      <c r="C225" s="216"/>
      <c r="D225" s="30" t="s">
        <v>149</v>
      </c>
      <c r="E225" s="47">
        <f t="shared" si="43"/>
        <v>958.006</v>
      </c>
      <c r="F225" s="32"/>
      <c r="G225" s="33">
        <f t="shared" si="44"/>
        <v>0</v>
      </c>
      <c r="H225" s="33"/>
      <c r="I225" s="33">
        <v>0</v>
      </c>
      <c r="J225" s="33">
        <f>1014.006-56</f>
        <v>958.006</v>
      </c>
      <c r="K225" s="32"/>
      <c r="L225" s="145" t="s">
        <v>150</v>
      </c>
      <c r="M225" s="218"/>
    </row>
    <row r="226" spans="1:13" ht="31.5" customHeight="1">
      <c r="A226" s="210"/>
      <c r="B226" s="216"/>
      <c r="C226" s="216"/>
      <c r="D226" s="53" t="s">
        <v>149</v>
      </c>
      <c r="E226" s="47">
        <f t="shared" si="43"/>
        <v>430.5</v>
      </c>
      <c r="F226" s="41"/>
      <c r="G226" s="33">
        <f t="shared" si="44"/>
        <v>374.5</v>
      </c>
      <c r="H226" s="119"/>
      <c r="I226" s="119">
        <v>374.5</v>
      </c>
      <c r="J226" s="119">
        <v>56</v>
      </c>
      <c r="K226" s="41"/>
      <c r="L226" s="219" t="s">
        <v>151</v>
      </c>
      <c r="M226" s="218"/>
    </row>
    <row r="227" spans="1:13" ht="31.5" customHeight="1">
      <c r="A227" s="210"/>
      <c r="B227" s="216"/>
      <c r="C227" s="216"/>
      <c r="D227" s="30" t="s">
        <v>152</v>
      </c>
      <c r="E227" s="47">
        <f t="shared" si="43"/>
        <v>0</v>
      </c>
      <c r="F227" s="32"/>
      <c r="G227" s="33">
        <f t="shared" si="44"/>
        <v>0</v>
      </c>
      <c r="H227" s="33"/>
      <c r="I227" s="33">
        <v>0</v>
      </c>
      <c r="J227" s="33">
        <v>0</v>
      </c>
      <c r="K227" s="32"/>
      <c r="L227" s="219" t="s">
        <v>153</v>
      </c>
      <c r="M227" s="218"/>
    </row>
    <row r="228" spans="1:13" ht="31.5" customHeight="1">
      <c r="A228" s="210"/>
      <c r="B228" s="216"/>
      <c r="C228" s="216"/>
      <c r="D228" s="30" t="s">
        <v>154</v>
      </c>
      <c r="E228" s="47">
        <f t="shared" si="43"/>
        <v>0</v>
      </c>
      <c r="F228" s="32"/>
      <c r="G228" s="33">
        <f t="shared" si="44"/>
        <v>0</v>
      </c>
      <c r="H228" s="33"/>
      <c r="I228" s="33">
        <v>0</v>
      </c>
      <c r="J228" s="33">
        <v>0</v>
      </c>
      <c r="K228" s="32"/>
      <c r="L228" s="219" t="s">
        <v>155</v>
      </c>
      <c r="M228" s="218"/>
    </row>
    <row r="229" spans="1:13" ht="36" customHeight="1">
      <c r="A229" s="210"/>
      <c r="B229" s="216"/>
      <c r="C229" s="216"/>
      <c r="D229" s="30" t="s">
        <v>156</v>
      </c>
      <c r="E229" s="47">
        <f t="shared" si="43"/>
        <v>0</v>
      </c>
      <c r="F229" s="32"/>
      <c r="G229" s="33">
        <f t="shared" si="44"/>
        <v>0</v>
      </c>
      <c r="H229" s="33"/>
      <c r="I229" s="33">
        <v>0</v>
      </c>
      <c r="J229" s="33">
        <v>0</v>
      </c>
      <c r="K229" s="32"/>
      <c r="L229" s="219" t="s">
        <v>157</v>
      </c>
      <c r="M229" s="218"/>
    </row>
    <row r="230" spans="1:13" ht="36" customHeight="1">
      <c r="A230" s="210"/>
      <c r="B230" s="216"/>
      <c r="C230" s="216"/>
      <c r="D230" s="220" t="s">
        <v>158</v>
      </c>
      <c r="E230" s="47">
        <f t="shared" si="43"/>
        <v>148.2</v>
      </c>
      <c r="F230" s="46"/>
      <c r="G230" s="33">
        <f t="shared" si="44"/>
        <v>0</v>
      </c>
      <c r="H230" s="47"/>
      <c r="I230" s="33">
        <v>0</v>
      </c>
      <c r="J230" s="33">
        <v>148.2</v>
      </c>
      <c r="K230" s="46"/>
      <c r="L230" s="221" t="s">
        <v>159</v>
      </c>
      <c r="M230" s="218"/>
    </row>
    <row r="231" spans="1:13" ht="36" customHeight="1">
      <c r="A231" s="210"/>
      <c r="B231" s="216"/>
      <c r="C231" s="216"/>
      <c r="D231" s="222"/>
      <c r="E231" s="46">
        <f t="shared" si="43"/>
        <v>151.8</v>
      </c>
      <c r="F231" s="46"/>
      <c r="G231" s="32">
        <f t="shared" si="44"/>
        <v>0</v>
      </c>
      <c r="H231" s="46"/>
      <c r="I231" s="32">
        <v>0</v>
      </c>
      <c r="J231" s="32">
        <f>J232</f>
        <v>151.8</v>
      </c>
      <c r="K231" s="46"/>
      <c r="L231" s="43"/>
      <c r="M231" s="218"/>
    </row>
    <row r="232" spans="1:13" ht="31.5" customHeight="1">
      <c r="A232" s="210"/>
      <c r="B232" s="216"/>
      <c r="C232" s="216"/>
      <c r="D232" s="223"/>
      <c r="E232" s="47">
        <f>J232+I232+G232</f>
        <v>151.8</v>
      </c>
      <c r="F232" s="124"/>
      <c r="G232" s="33">
        <v>0</v>
      </c>
      <c r="H232" s="47"/>
      <c r="I232" s="33">
        <v>0</v>
      </c>
      <c r="J232" s="124">
        <v>151.8</v>
      </c>
      <c r="K232" s="122"/>
      <c r="L232" s="224" t="s">
        <v>63</v>
      </c>
      <c r="M232" s="218"/>
    </row>
    <row r="233" spans="1:13" ht="34.5" customHeight="1">
      <c r="A233" s="225"/>
      <c r="B233" s="226" t="s">
        <v>160</v>
      </c>
      <c r="C233" s="226"/>
      <c r="D233" s="227">
        <v>2017</v>
      </c>
      <c r="E233" s="25">
        <f>E57+E80+E86+E94+E101+E109+E114+E208+E216</f>
        <v>3516.342</v>
      </c>
      <c r="F233" s="25">
        <f>F57+F80+F86+F94+F101+F109+F114+F208+F216</f>
        <v>0</v>
      </c>
      <c r="G233" s="25">
        <f>G57+G80+G86+G94+G101+G109+G114+G208+G216</f>
        <v>205.2</v>
      </c>
      <c r="H233" s="25">
        <f>H57+H80+H86+H94+H101+H109+H114+H208+H216</f>
        <v>0</v>
      </c>
      <c r="I233" s="25">
        <f>I57+I80+I86+I94+I101+I109+I114+I208+I216</f>
        <v>205.2</v>
      </c>
      <c r="J233" s="25">
        <f>J57+J80+J86+J94+J101+J109+J114+J208+J216</f>
        <v>3311.142</v>
      </c>
      <c r="K233" s="25">
        <f>K57+K80+K86+K94+K101+K109+K114+K208+K216</f>
        <v>0</v>
      </c>
      <c r="L233" s="228"/>
      <c r="M233" s="229"/>
    </row>
    <row r="234" spans="1:13" ht="32.25" customHeight="1">
      <c r="A234" s="225"/>
      <c r="B234" s="226"/>
      <c r="C234" s="226"/>
      <c r="D234" s="230">
        <v>2018</v>
      </c>
      <c r="E234" s="32">
        <f>E58+E81+E87+E95+E103+E110+E121+E209</f>
        <v>3449.7360099999996</v>
      </c>
      <c r="F234" s="32">
        <f>F58+F81+F87+F95+F103+F110+F121+F209</f>
        <v>0</v>
      </c>
      <c r="G234" s="32">
        <f>G58+G81+G87+G95+G103+G110+G121+G209</f>
        <v>162.2</v>
      </c>
      <c r="H234" s="32">
        <f>H58+H81+H87+H95+H103+H110+H121+H209</f>
        <v>0</v>
      </c>
      <c r="I234" s="32">
        <f>I58+I81+I87+I95+I103+I110+I121+I209</f>
        <v>162.2</v>
      </c>
      <c r="J234" s="32">
        <f>J58+J81+J87+J95+J103+J110+J121+J209</f>
        <v>3287.53601</v>
      </c>
      <c r="K234" s="32">
        <f>K58+K81+K87+K95+K103+K110+K121+K209</f>
        <v>0</v>
      </c>
      <c r="L234" s="231"/>
      <c r="M234" s="229"/>
    </row>
    <row r="235" spans="1:13" ht="32.25" customHeight="1">
      <c r="A235" s="225"/>
      <c r="B235" s="226"/>
      <c r="C235" s="226"/>
      <c r="D235" s="230">
        <v>2019</v>
      </c>
      <c r="E235" s="32">
        <f>E59+E82+E89+E96+E104+E111+E129+E169+E210+E215+E217+E220+E221</f>
        <v>1852.0430000000001</v>
      </c>
      <c r="F235" s="32">
        <f>F59+F82+F89+F96+F104+F111+F129+F169+F210+F215+F217+F220+F221</f>
        <v>0</v>
      </c>
      <c r="G235" s="32">
        <f>G59+G82+G89+G96+G104+G111+G129+G169+G210+G215+G217+G220+G221</f>
        <v>531.1</v>
      </c>
      <c r="H235" s="32">
        <f>H59+H82+H89+H96+H104+H111+H129+H169+H210+H215+H217+H220+H221</f>
        <v>0</v>
      </c>
      <c r="I235" s="32">
        <f>I59+I82+I89+I96+I104+I111+I129+I169+I210+I215+I217+I220+I221</f>
        <v>531.1</v>
      </c>
      <c r="J235" s="32">
        <f>J59+J82+J89+J96+J104+J111+J129+J169+J210+J215+J217+J220+J221</f>
        <v>1320.9430000000002</v>
      </c>
      <c r="K235" s="32">
        <f>K59+K82+K89+K96+K104+K111+K129+K169+K210+K215+K217+K220+K221</f>
        <v>0</v>
      </c>
      <c r="L235" s="232"/>
      <c r="M235" s="229"/>
    </row>
    <row r="236" spans="1:13" ht="32.25" customHeight="1">
      <c r="A236" s="225"/>
      <c r="B236" s="226"/>
      <c r="C236" s="226"/>
      <c r="D236" s="230">
        <v>2020</v>
      </c>
      <c r="E236" s="32">
        <f>E60+E83+E90+E97+E105+E112+E137+E176+E211+E45+E222+E54</f>
        <v>4781.339999999999</v>
      </c>
      <c r="F236" s="32">
        <f>F60+F83+F90+F97+F105+F112+F137+F176+F211+F45+F222+F54</f>
        <v>0</v>
      </c>
      <c r="G236" s="32">
        <f>G60+G83+G90+G97+G105+G112+G137+G176+G211+G45+G222+G54</f>
        <v>2236.2</v>
      </c>
      <c r="H236" s="32">
        <f>H60+H83+H90+H97+H105+H112+H137+H176+H211+H45+H222+H54</f>
        <v>1094.7</v>
      </c>
      <c r="I236" s="32">
        <f>I60+I83+I90+I97+I105+I112+I137+I176+I211+I45+I222+I54</f>
        <v>1141.5</v>
      </c>
      <c r="J236" s="32">
        <f>J60+J83+J90+J97+J105+J112+J137+J176+J211+J45+J222+J54</f>
        <v>2545.14</v>
      </c>
      <c r="K236" s="32">
        <f>K60+K83+K90+K97+K105+K112+K137+K176+K211+K45+K222+K54</f>
        <v>0</v>
      </c>
      <c r="L236" s="231"/>
      <c r="M236" s="229"/>
    </row>
    <row r="237" spans="1:13" ht="32.25" customHeight="1">
      <c r="A237" s="225"/>
      <c r="B237" s="226"/>
      <c r="C237" s="226"/>
      <c r="D237" s="233">
        <v>2021</v>
      </c>
      <c r="E237" s="32">
        <f>E46+E55+E61+E84+E91+E98+E106+E113+E145+E184+E212+E219</f>
        <v>8175.96955</v>
      </c>
      <c r="F237" s="32">
        <f>F46+F55+F61+F84+F91+F98+F106+F113+F145+F184+F212+F219</f>
        <v>0</v>
      </c>
      <c r="G237" s="32">
        <f>G46+G55+G61+G84+G91+G98+G106+G113+G145+G184+G212+G219</f>
        <v>6677.9</v>
      </c>
      <c r="H237" s="32">
        <f>H46+H55+H61+H84+H91+H98+H106+H113+H145+H184+H212+H219</f>
        <v>6570.9</v>
      </c>
      <c r="I237" s="32">
        <f>I46+I55+I61+I84+I91+I98+I106+I113+I145+I184+I212+I219</f>
        <v>107</v>
      </c>
      <c r="J237" s="32">
        <f>J46+J55+J61+J84+J91+J98+J106+J113+J145+J184+J212+J219</f>
        <v>1498.06955</v>
      </c>
      <c r="K237" s="32">
        <f>K46+K55+K61+K84+K91+K98+K106+K113+K145+K184+K212+K231+K219+K77+K69</f>
        <v>0</v>
      </c>
      <c r="L237" s="231"/>
      <c r="M237" s="229"/>
    </row>
    <row r="238" spans="1:13" ht="29.25" customHeight="1">
      <c r="A238" s="225"/>
      <c r="B238" s="226"/>
      <c r="C238" s="226"/>
      <c r="D238" s="233">
        <v>2022</v>
      </c>
      <c r="E238" s="32">
        <f>E47+E62+E85+E92+E99+E107+E154+E192+E213+E78</f>
        <v>7555.4926399999995</v>
      </c>
      <c r="F238" s="32">
        <f>F47+F62+F85+F92+F99+F107+F154+F192+F213+F78</f>
        <v>0</v>
      </c>
      <c r="G238" s="32">
        <f>H238+I238</f>
        <v>6944.66</v>
      </c>
      <c r="H238" s="32">
        <f>H47+H62+H85+H92+H99+H107+H154+H192+H213+H78</f>
        <v>713</v>
      </c>
      <c r="I238" s="32">
        <f>I47+I62+I85+I92+I99+I107+I154+I192+I213+I78</f>
        <v>6231.66</v>
      </c>
      <c r="J238" s="32">
        <f>J47+J62+J85+J92+J99+J107+J154+J192+J213+J78</f>
        <v>610.83264</v>
      </c>
      <c r="K238" s="32">
        <f>K47+K62+K85+K92+K99+K107+K154+K192+K213+K78</f>
        <v>0</v>
      </c>
      <c r="L238" s="231"/>
      <c r="M238" s="229"/>
    </row>
    <row r="239" spans="1:13" ht="29.25" customHeight="1">
      <c r="A239" s="225"/>
      <c r="B239" s="226"/>
      <c r="C239" s="226"/>
      <c r="D239" s="234">
        <v>2023</v>
      </c>
      <c r="E239" s="46">
        <f>E22+E29+E32+E63</f>
        <v>178.632</v>
      </c>
      <c r="F239" s="46">
        <f>F22+F29+F32+F63</f>
        <v>0</v>
      </c>
      <c r="G239" s="46">
        <f>G22+G29+G32+G63</f>
        <v>0</v>
      </c>
      <c r="H239" s="46">
        <f>H22+H29+H32+H63</f>
        <v>0</v>
      </c>
      <c r="I239" s="46">
        <f>I22+I29+I32+I63</f>
        <v>0</v>
      </c>
      <c r="J239" s="46">
        <f>J22+J29+J32+J63</f>
        <v>178.632</v>
      </c>
      <c r="K239" s="46">
        <f>K22+K29+K32+K63</f>
        <v>0</v>
      </c>
      <c r="L239" s="235"/>
      <c r="M239" s="229"/>
    </row>
    <row r="240" spans="1:13" ht="29.25" customHeight="1">
      <c r="A240" s="225"/>
      <c r="B240" s="226"/>
      <c r="C240" s="226"/>
      <c r="D240" s="236">
        <v>2024</v>
      </c>
      <c r="E240" s="122">
        <f>E64</f>
        <v>200</v>
      </c>
      <c r="F240" s="122">
        <f>F64</f>
        <v>0</v>
      </c>
      <c r="G240" s="122">
        <f>G64</f>
        <v>0</v>
      </c>
      <c r="H240" s="122">
        <f>H64</f>
        <v>0</v>
      </c>
      <c r="I240" s="122">
        <f>I64</f>
        <v>0</v>
      </c>
      <c r="J240" s="122">
        <f>J64</f>
        <v>200</v>
      </c>
      <c r="K240" s="122">
        <f>K64</f>
        <v>0</v>
      </c>
      <c r="L240" s="237"/>
      <c r="M240" s="229"/>
    </row>
    <row r="241" spans="1:13" ht="29.25" customHeight="1">
      <c r="A241" s="238" t="s">
        <v>161</v>
      </c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</row>
    <row r="242" spans="1:13" ht="43.5" customHeight="1">
      <c r="A242" s="239" t="s">
        <v>162</v>
      </c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</row>
    <row r="243" spans="1:18" ht="106.5" customHeight="1">
      <c r="A243" s="239" t="s">
        <v>163</v>
      </c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R243" s="240"/>
    </row>
    <row r="244" spans="1:13" ht="27" customHeight="1">
      <c r="A244" s="239" t="s">
        <v>164</v>
      </c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</row>
    <row r="245" spans="1:13" ht="37.5" customHeight="1">
      <c r="A245" s="77" t="s">
        <v>165</v>
      </c>
      <c r="B245" s="71" t="s">
        <v>166</v>
      </c>
      <c r="C245" s="241" t="s">
        <v>167</v>
      </c>
      <c r="D245" s="13">
        <v>2017</v>
      </c>
      <c r="E245" s="79">
        <f aca="true" t="shared" si="45" ref="E245:E247">F245+G245+J245+K245</f>
        <v>15500.856</v>
      </c>
      <c r="F245" s="108"/>
      <c r="G245" s="79">
        <f aca="true" t="shared" si="46" ref="G245:G262">H245+I245</f>
        <v>0</v>
      </c>
      <c r="H245" s="79"/>
      <c r="I245" s="79"/>
      <c r="J245" s="79">
        <f>J343+J344+J345+J346+J347+J349</f>
        <v>15500.856</v>
      </c>
      <c r="K245" s="108">
        <v>0</v>
      </c>
      <c r="L245" s="242" t="s">
        <v>168</v>
      </c>
      <c r="M245" s="82" t="s">
        <v>169</v>
      </c>
    </row>
    <row r="246" spans="1:13" ht="37.5" customHeight="1">
      <c r="A246" s="77"/>
      <c r="B246" s="71"/>
      <c r="C246" s="243" t="s">
        <v>170</v>
      </c>
      <c r="D246" s="244"/>
      <c r="E246" s="79">
        <f t="shared" si="45"/>
        <v>10933.428</v>
      </c>
      <c r="F246" s="108"/>
      <c r="G246" s="79">
        <f t="shared" si="46"/>
        <v>0</v>
      </c>
      <c r="H246" s="79"/>
      <c r="I246" s="79"/>
      <c r="J246" s="79">
        <f>J348</f>
        <v>10933.428</v>
      </c>
      <c r="K246" s="108">
        <v>0</v>
      </c>
      <c r="L246" s="242" t="s">
        <v>171</v>
      </c>
      <c r="M246" s="82"/>
    </row>
    <row r="247" spans="1:13" ht="37.5" customHeight="1">
      <c r="A247" s="77"/>
      <c r="B247" s="71"/>
      <c r="C247" s="241" t="s">
        <v>167</v>
      </c>
      <c r="D247" s="13">
        <v>2018</v>
      </c>
      <c r="E247" s="79">
        <f t="shared" si="45"/>
        <v>28543.359</v>
      </c>
      <c r="F247" s="79"/>
      <c r="G247" s="79">
        <f t="shared" si="46"/>
        <v>0</v>
      </c>
      <c r="H247" s="79">
        <v>0</v>
      </c>
      <c r="I247" s="79">
        <v>0</v>
      </c>
      <c r="J247" s="79">
        <f>SUM(J248:J261)</f>
        <v>28543.359</v>
      </c>
      <c r="K247" s="79">
        <v>0</v>
      </c>
      <c r="L247" s="242"/>
      <c r="M247" s="82"/>
    </row>
    <row r="248" spans="1:13" ht="24.75" customHeight="1">
      <c r="A248" s="77"/>
      <c r="B248" s="71"/>
      <c r="C248" s="241" t="s">
        <v>172</v>
      </c>
      <c r="D248" s="13"/>
      <c r="E248" s="79"/>
      <c r="F248" s="108"/>
      <c r="G248" s="108">
        <f t="shared" si="46"/>
        <v>0</v>
      </c>
      <c r="H248" s="108"/>
      <c r="I248" s="108"/>
      <c r="J248" s="108">
        <f>105.997+1553.242+30.82212-90.152</f>
        <v>1599.90912</v>
      </c>
      <c r="K248" s="108">
        <v>0</v>
      </c>
      <c r="L248" s="242" t="s">
        <v>171</v>
      </c>
      <c r="M248" s="82"/>
    </row>
    <row r="249" spans="1:13" ht="24.75" customHeight="1">
      <c r="A249" s="77"/>
      <c r="B249" s="71"/>
      <c r="C249" s="241" t="s">
        <v>173</v>
      </c>
      <c r="D249" s="13"/>
      <c r="E249" s="79"/>
      <c r="F249" s="108"/>
      <c r="G249" s="108">
        <f t="shared" si="46"/>
        <v>0</v>
      </c>
      <c r="H249" s="108"/>
      <c r="I249" s="108"/>
      <c r="J249" s="245">
        <f>2647.00046-137.31778-3.0355</f>
        <v>2506.6471800000004</v>
      </c>
      <c r="K249" s="108">
        <v>0</v>
      </c>
      <c r="L249" s="242"/>
      <c r="M249" s="82"/>
    </row>
    <row r="250" spans="1:13" ht="24.75" customHeight="1">
      <c r="A250" s="77"/>
      <c r="B250" s="71"/>
      <c r="C250" s="241" t="s">
        <v>174</v>
      </c>
      <c r="D250" s="13"/>
      <c r="E250" s="79"/>
      <c r="F250" s="108"/>
      <c r="G250" s="108">
        <f t="shared" si="46"/>
        <v>0</v>
      </c>
      <c r="H250" s="108"/>
      <c r="I250" s="108"/>
      <c r="J250" s="108">
        <f>19000-4993.27603+73.22078+64.097-230.15863</f>
        <v>13913.883119999999</v>
      </c>
      <c r="K250" s="108">
        <v>0</v>
      </c>
      <c r="L250" s="242"/>
      <c r="M250" s="82"/>
    </row>
    <row r="251" spans="1:13" ht="24.75" customHeight="1">
      <c r="A251" s="77"/>
      <c r="B251" s="71"/>
      <c r="C251" s="241" t="s">
        <v>175</v>
      </c>
      <c r="D251" s="13"/>
      <c r="E251" s="79"/>
      <c r="F251" s="108"/>
      <c r="G251" s="108">
        <f t="shared" si="46"/>
        <v>0</v>
      </c>
      <c r="H251" s="108"/>
      <c r="I251" s="108"/>
      <c r="J251" s="108">
        <f>620.082-142.882</f>
        <v>477.2</v>
      </c>
      <c r="K251" s="108">
        <v>0</v>
      </c>
      <c r="L251" s="242"/>
      <c r="M251" s="82"/>
    </row>
    <row r="252" spans="1:13" ht="24.75" customHeight="1">
      <c r="A252" s="77"/>
      <c r="B252" s="71"/>
      <c r="C252" s="241" t="s">
        <v>27</v>
      </c>
      <c r="D252" s="13"/>
      <c r="E252" s="79"/>
      <c r="F252" s="108"/>
      <c r="G252" s="108">
        <f t="shared" si="46"/>
        <v>0</v>
      </c>
      <c r="H252" s="108"/>
      <c r="I252" s="108"/>
      <c r="J252" s="108">
        <f>4446.112-526.952+1537.10326-314.81263</f>
        <v>5141.450629999999</v>
      </c>
      <c r="K252" s="108">
        <v>0</v>
      </c>
      <c r="L252" s="242"/>
      <c r="M252" s="82"/>
    </row>
    <row r="253" spans="1:13" ht="24.75" customHeight="1">
      <c r="A253" s="77"/>
      <c r="B253" s="71"/>
      <c r="C253" s="241" t="s">
        <v>24</v>
      </c>
      <c r="D253" s="13"/>
      <c r="E253" s="79"/>
      <c r="F253" s="108"/>
      <c r="G253" s="108">
        <f t="shared" si="46"/>
        <v>0</v>
      </c>
      <c r="H253" s="108"/>
      <c r="I253" s="108"/>
      <c r="J253" s="108">
        <f>115.226+847.899+0.168</f>
        <v>963.293</v>
      </c>
      <c r="K253" s="108">
        <v>0</v>
      </c>
      <c r="L253" s="242"/>
      <c r="M253" s="82"/>
    </row>
    <row r="254" spans="1:13" ht="24.75" customHeight="1">
      <c r="A254" s="77"/>
      <c r="B254" s="71"/>
      <c r="C254" s="241" t="s">
        <v>172</v>
      </c>
      <c r="D254" s="13"/>
      <c r="E254" s="79"/>
      <c r="F254" s="108"/>
      <c r="G254" s="108">
        <f t="shared" si="46"/>
        <v>0</v>
      </c>
      <c r="H254" s="108"/>
      <c r="I254" s="108"/>
      <c r="J254" s="108">
        <f>357.7+36.69771</f>
        <v>394.39770999999996</v>
      </c>
      <c r="K254" s="108">
        <v>0</v>
      </c>
      <c r="L254" s="78" t="s">
        <v>172</v>
      </c>
      <c r="M254" s="82"/>
    </row>
    <row r="255" spans="1:13" ht="24.75" customHeight="1">
      <c r="A255" s="77"/>
      <c r="B255" s="71"/>
      <c r="C255" s="241" t="s">
        <v>173</v>
      </c>
      <c r="D255" s="13"/>
      <c r="E255" s="79"/>
      <c r="F255" s="108"/>
      <c r="G255" s="108">
        <f t="shared" si="46"/>
        <v>0</v>
      </c>
      <c r="H255" s="108"/>
      <c r="I255" s="108"/>
      <c r="J255" s="108">
        <f>105.779+362.898-106.319</f>
        <v>362.358</v>
      </c>
      <c r="K255" s="108">
        <v>0</v>
      </c>
      <c r="L255" s="78" t="s">
        <v>173</v>
      </c>
      <c r="M255" s="82"/>
    </row>
    <row r="256" spans="1:13" ht="24.75" customHeight="1">
      <c r="A256" s="77"/>
      <c r="B256" s="71"/>
      <c r="C256" s="241" t="s">
        <v>175</v>
      </c>
      <c r="D256" s="13"/>
      <c r="E256" s="79"/>
      <c r="F256" s="108"/>
      <c r="G256" s="108">
        <f t="shared" si="46"/>
        <v>0</v>
      </c>
      <c r="H256" s="108"/>
      <c r="I256" s="108"/>
      <c r="J256" s="108">
        <v>0</v>
      </c>
      <c r="K256" s="108">
        <v>0</v>
      </c>
      <c r="L256" s="242"/>
      <c r="M256" s="82"/>
    </row>
    <row r="257" spans="1:13" ht="24.75" customHeight="1">
      <c r="A257" s="77"/>
      <c r="B257" s="71"/>
      <c r="C257" s="241" t="s">
        <v>27</v>
      </c>
      <c r="D257" s="13"/>
      <c r="E257" s="79"/>
      <c r="F257" s="108"/>
      <c r="G257" s="108">
        <f t="shared" si="46"/>
        <v>0</v>
      </c>
      <c r="H257" s="108"/>
      <c r="I257" s="108"/>
      <c r="J257" s="108">
        <f>196.448+30+275.818-26.184</f>
        <v>476.08199999999994</v>
      </c>
      <c r="K257" s="108">
        <v>0</v>
      </c>
      <c r="L257" s="242" t="s">
        <v>176</v>
      </c>
      <c r="M257" s="82"/>
    </row>
    <row r="258" spans="1:13" ht="24.75" customHeight="1">
      <c r="A258" s="77"/>
      <c r="B258" s="71"/>
      <c r="C258" s="241" t="s">
        <v>24</v>
      </c>
      <c r="D258" s="13"/>
      <c r="E258" s="79"/>
      <c r="F258" s="108"/>
      <c r="G258" s="108">
        <f t="shared" si="46"/>
        <v>0</v>
      </c>
      <c r="H258" s="108"/>
      <c r="I258" s="108"/>
      <c r="J258" s="108">
        <f>624.103+100+900+26.6</f>
        <v>1650.703</v>
      </c>
      <c r="K258" s="108">
        <v>0</v>
      </c>
      <c r="L258" s="242" t="s">
        <v>124</v>
      </c>
      <c r="M258" s="82"/>
    </row>
    <row r="259" spans="1:13" ht="24.75" customHeight="1">
      <c r="A259" s="77"/>
      <c r="B259" s="71"/>
      <c r="C259" s="241"/>
      <c r="D259" s="13"/>
      <c r="E259" s="79"/>
      <c r="F259" s="108"/>
      <c r="G259" s="108">
        <f t="shared" si="46"/>
        <v>0</v>
      </c>
      <c r="H259" s="108"/>
      <c r="I259" s="108"/>
      <c r="J259" s="108">
        <v>0</v>
      </c>
      <c r="K259" s="108">
        <v>0</v>
      </c>
      <c r="L259" s="242" t="s">
        <v>177</v>
      </c>
      <c r="M259" s="82"/>
    </row>
    <row r="260" spans="1:13" ht="24.75" customHeight="1">
      <c r="A260" s="77"/>
      <c r="B260" s="71"/>
      <c r="C260" s="241" t="s">
        <v>106</v>
      </c>
      <c r="D260" s="13"/>
      <c r="E260" s="79"/>
      <c r="F260" s="108"/>
      <c r="G260" s="108">
        <f t="shared" si="46"/>
        <v>0</v>
      </c>
      <c r="H260" s="108"/>
      <c r="I260" s="108"/>
      <c r="J260" s="108">
        <f>491.117-443.682+838.97984-0.0006</f>
        <v>886.41424</v>
      </c>
      <c r="K260" s="108">
        <v>0</v>
      </c>
      <c r="L260" s="242" t="s">
        <v>177</v>
      </c>
      <c r="M260" s="82"/>
    </row>
    <row r="261" spans="1:13" ht="24.75" customHeight="1">
      <c r="A261" s="77"/>
      <c r="B261" s="71"/>
      <c r="C261" s="241" t="s">
        <v>106</v>
      </c>
      <c r="D261" s="13"/>
      <c r="E261" s="79"/>
      <c r="F261" s="108"/>
      <c r="G261" s="108">
        <f t="shared" si="46"/>
        <v>0</v>
      </c>
      <c r="H261" s="108"/>
      <c r="I261" s="108"/>
      <c r="J261" s="246">
        <f>147.021+24</f>
        <v>171.021</v>
      </c>
      <c r="K261" s="108">
        <v>0</v>
      </c>
      <c r="L261" s="242" t="s">
        <v>178</v>
      </c>
      <c r="M261" s="82"/>
    </row>
    <row r="262" spans="1:13" ht="24.75" customHeight="1">
      <c r="A262" s="77"/>
      <c r="B262" s="71"/>
      <c r="C262" s="247"/>
      <c r="D262" s="222"/>
      <c r="E262" s="248"/>
      <c r="F262" s="249"/>
      <c r="G262" s="249">
        <f t="shared" si="46"/>
        <v>0</v>
      </c>
      <c r="H262" s="249"/>
      <c r="I262" s="249"/>
      <c r="J262" s="250">
        <v>0</v>
      </c>
      <c r="K262" s="249">
        <v>0</v>
      </c>
      <c r="L262" s="242"/>
      <c r="M262" s="82"/>
    </row>
    <row r="263" spans="1:13" ht="24.75" customHeight="1">
      <c r="A263" s="77"/>
      <c r="B263" s="71"/>
      <c r="C263" s="251"/>
      <c r="D263" s="252">
        <v>2019</v>
      </c>
      <c r="E263" s="253">
        <f aca="true" t="shared" si="47" ref="E263:E277">F263+G263+J263+K263</f>
        <v>25876.256050000004</v>
      </c>
      <c r="F263" s="253">
        <f>SUM(F264:F277)</f>
        <v>0</v>
      </c>
      <c r="G263" s="253">
        <f>SUM(G264:G277)</f>
        <v>0</v>
      </c>
      <c r="H263" s="253">
        <f>SUM(H264:H277)</f>
        <v>0</v>
      </c>
      <c r="I263" s="253">
        <f>SUM(I264:I277)</f>
        <v>0</v>
      </c>
      <c r="J263" s="253">
        <f>SUM(J264:J277)</f>
        <v>25876.256050000004</v>
      </c>
      <c r="K263" s="254">
        <f>SUM(K264:K277)</f>
        <v>0</v>
      </c>
      <c r="L263" s="255" t="s">
        <v>171</v>
      </c>
      <c r="M263" s="82"/>
    </row>
    <row r="264" spans="1:13" ht="24.75" customHeight="1">
      <c r="A264" s="77"/>
      <c r="B264" s="71"/>
      <c r="C264" s="256" t="s">
        <v>118</v>
      </c>
      <c r="D264" s="54"/>
      <c r="E264" s="257">
        <f t="shared" si="47"/>
        <v>1159.92432</v>
      </c>
      <c r="F264" s="257"/>
      <c r="G264" s="257">
        <f aca="true" t="shared" si="48" ref="G264:G277">H264+I264</f>
        <v>0</v>
      </c>
      <c r="H264" s="257"/>
      <c r="I264" s="258"/>
      <c r="J264" s="257">
        <f>1350-190.07568</f>
        <v>1159.92432</v>
      </c>
      <c r="K264" s="257">
        <v>0</v>
      </c>
      <c r="L264" s="259" t="s">
        <v>171</v>
      </c>
      <c r="M264" s="82"/>
    </row>
    <row r="265" spans="1:13" ht="24.75" customHeight="1">
      <c r="A265" s="77"/>
      <c r="B265" s="71"/>
      <c r="C265" s="241" t="s">
        <v>119</v>
      </c>
      <c r="D265" s="13"/>
      <c r="E265" s="108">
        <f t="shared" si="47"/>
        <v>17673.222</v>
      </c>
      <c r="F265" s="108"/>
      <c r="G265" s="108">
        <f t="shared" si="48"/>
        <v>0</v>
      </c>
      <c r="H265" s="108"/>
      <c r="I265" s="79"/>
      <c r="J265" s="108">
        <f>17794.4248-121.2028</f>
        <v>17673.222</v>
      </c>
      <c r="K265" s="108"/>
      <c r="L265" s="259" t="s">
        <v>171</v>
      </c>
      <c r="M265" s="82"/>
    </row>
    <row r="266" spans="1:13" ht="24.75" customHeight="1">
      <c r="A266" s="77"/>
      <c r="B266" s="71"/>
      <c r="C266" s="241" t="s">
        <v>120</v>
      </c>
      <c r="D266" s="13"/>
      <c r="E266" s="108">
        <f t="shared" si="47"/>
        <v>0</v>
      </c>
      <c r="F266" s="108"/>
      <c r="G266" s="108">
        <f t="shared" si="48"/>
        <v>0</v>
      </c>
      <c r="H266" s="108"/>
      <c r="I266" s="79"/>
      <c r="J266" s="108">
        <f>500-159.431-340.569</f>
        <v>0</v>
      </c>
      <c r="K266" s="108"/>
      <c r="L266" s="259" t="s">
        <v>171</v>
      </c>
      <c r="M266" s="82"/>
    </row>
    <row r="267" spans="1:13" ht="24.75" customHeight="1">
      <c r="A267" s="77"/>
      <c r="B267" s="71"/>
      <c r="C267" s="241" t="s">
        <v>179</v>
      </c>
      <c r="D267" s="13"/>
      <c r="E267" s="108">
        <f t="shared" si="47"/>
        <v>2109.1145</v>
      </c>
      <c r="F267" s="108"/>
      <c r="G267" s="108">
        <f t="shared" si="48"/>
        <v>0</v>
      </c>
      <c r="H267" s="108"/>
      <c r="I267" s="108">
        <v>0</v>
      </c>
      <c r="J267" s="108">
        <f>1797.73863+313.37887-2.003</f>
        <v>2109.1145</v>
      </c>
      <c r="K267" s="108"/>
      <c r="L267" s="259" t="s">
        <v>171</v>
      </c>
      <c r="M267" s="82"/>
    </row>
    <row r="268" spans="1:13" ht="24.75" customHeight="1">
      <c r="A268" s="77"/>
      <c r="B268" s="71"/>
      <c r="C268" s="241" t="s">
        <v>179</v>
      </c>
      <c r="D268" s="13"/>
      <c r="E268" s="108">
        <f t="shared" si="47"/>
        <v>0</v>
      </c>
      <c r="F268" s="108"/>
      <c r="G268" s="108">
        <f t="shared" si="48"/>
        <v>0</v>
      </c>
      <c r="H268" s="108"/>
      <c r="I268" s="108"/>
      <c r="J268" s="108">
        <v>0</v>
      </c>
      <c r="K268" s="108"/>
      <c r="L268" s="259" t="s">
        <v>180</v>
      </c>
      <c r="M268" s="82"/>
    </row>
    <row r="269" spans="1:13" ht="24.75" customHeight="1">
      <c r="A269" s="77"/>
      <c r="B269" s="71"/>
      <c r="C269" s="241" t="s">
        <v>124</v>
      </c>
      <c r="D269" s="13"/>
      <c r="E269" s="108">
        <f t="shared" si="47"/>
        <v>1830.5851200000002</v>
      </c>
      <c r="F269" s="108"/>
      <c r="G269" s="108">
        <f t="shared" si="48"/>
        <v>0</v>
      </c>
      <c r="H269" s="108"/>
      <c r="I269" s="79"/>
      <c r="J269" s="108">
        <f>1841.35064-10.76552</f>
        <v>1830.5851200000002</v>
      </c>
      <c r="K269" s="108"/>
      <c r="L269" s="259" t="s">
        <v>171</v>
      </c>
      <c r="M269" s="82"/>
    </row>
    <row r="270" spans="1:13" ht="24.75" customHeight="1">
      <c r="A270" s="77"/>
      <c r="B270" s="71"/>
      <c r="C270" s="241" t="s">
        <v>181</v>
      </c>
      <c r="D270" s="13"/>
      <c r="E270" s="108">
        <f t="shared" si="47"/>
        <v>0</v>
      </c>
      <c r="F270" s="108"/>
      <c r="G270" s="108">
        <f t="shared" si="48"/>
        <v>0</v>
      </c>
      <c r="H270" s="108"/>
      <c r="I270" s="79"/>
      <c r="J270" s="108">
        <v>0</v>
      </c>
      <c r="K270" s="108"/>
      <c r="L270" s="259" t="s">
        <v>171</v>
      </c>
      <c r="M270" s="82"/>
    </row>
    <row r="271" spans="1:13" ht="24.75" customHeight="1">
      <c r="A271" s="77"/>
      <c r="B271" s="71"/>
      <c r="C271" s="241" t="s">
        <v>118</v>
      </c>
      <c r="D271" s="13"/>
      <c r="E271" s="108">
        <f t="shared" si="47"/>
        <v>200</v>
      </c>
      <c r="F271" s="108"/>
      <c r="G271" s="108">
        <f t="shared" si="48"/>
        <v>0</v>
      </c>
      <c r="H271" s="108"/>
      <c r="I271" s="79"/>
      <c r="J271" s="108">
        <v>200</v>
      </c>
      <c r="K271" s="108"/>
      <c r="L271" s="259" t="s">
        <v>118</v>
      </c>
      <c r="M271" s="82"/>
    </row>
    <row r="272" spans="1:13" ht="24.75" customHeight="1">
      <c r="A272" s="77"/>
      <c r="B272" s="71"/>
      <c r="C272" s="241" t="s">
        <v>119</v>
      </c>
      <c r="D272" s="13"/>
      <c r="E272" s="108">
        <f t="shared" si="47"/>
        <v>262.6042</v>
      </c>
      <c r="F272" s="108"/>
      <c r="G272" s="108">
        <f t="shared" si="48"/>
        <v>0</v>
      </c>
      <c r="H272" s="108"/>
      <c r="I272" s="79"/>
      <c r="J272" s="108">
        <f>340.773-78.1688</f>
        <v>262.6042</v>
      </c>
      <c r="K272" s="108"/>
      <c r="L272" s="259" t="s">
        <v>119</v>
      </c>
      <c r="M272" s="82"/>
    </row>
    <row r="273" spans="1:13" ht="24.75" customHeight="1">
      <c r="A273" s="77"/>
      <c r="B273" s="71"/>
      <c r="C273" s="241" t="s">
        <v>120</v>
      </c>
      <c r="D273" s="13"/>
      <c r="E273" s="108">
        <f t="shared" si="47"/>
        <v>277.714</v>
      </c>
      <c r="F273" s="108"/>
      <c r="G273" s="108">
        <f t="shared" si="48"/>
        <v>0</v>
      </c>
      <c r="H273" s="108"/>
      <c r="I273" s="79"/>
      <c r="J273" s="108">
        <f>159.431+118.283</f>
        <v>277.714</v>
      </c>
      <c r="K273" s="108"/>
      <c r="L273" s="259" t="s">
        <v>120</v>
      </c>
      <c r="M273" s="82"/>
    </row>
    <row r="274" spans="1:13" ht="24.75" customHeight="1">
      <c r="A274" s="77"/>
      <c r="B274" s="71"/>
      <c r="C274" s="241" t="s">
        <v>179</v>
      </c>
      <c r="D274" s="13"/>
      <c r="E274" s="108">
        <f t="shared" si="47"/>
        <v>1940.84825</v>
      </c>
      <c r="F274" s="108"/>
      <c r="G274" s="108">
        <f t="shared" si="48"/>
        <v>0</v>
      </c>
      <c r="H274" s="108"/>
      <c r="I274" s="79"/>
      <c r="J274" s="108">
        <f>2430.61771-489.76946</f>
        <v>1940.84825</v>
      </c>
      <c r="K274" s="108"/>
      <c r="L274" s="259" t="s">
        <v>145</v>
      </c>
      <c r="M274" s="82"/>
    </row>
    <row r="275" spans="1:13" ht="24.75" customHeight="1">
      <c r="A275" s="77"/>
      <c r="B275" s="71"/>
      <c r="C275" s="241" t="s">
        <v>124</v>
      </c>
      <c r="D275" s="13"/>
      <c r="E275" s="108">
        <f t="shared" si="47"/>
        <v>422.24366</v>
      </c>
      <c r="F275" s="108"/>
      <c r="G275" s="108">
        <f t="shared" si="48"/>
        <v>0</v>
      </c>
      <c r="H275" s="108"/>
      <c r="I275" s="79"/>
      <c r="J275" s="108">
        <f>301.36966+120.874</f>
        <v>422.24366</v>
      </c>
      <c r="K275" s="108"/>
      <c r="L275" s="259" t="s">
        <v>149</v>
      </c>
      <c r="M275" s="82"/>
    </row>
    <row r="276" spans="1:13" ht="24.75" customHeight="1">
      <c r="A276" s="77"/>
      <c r="B276" s="71"/>
      <c r="C276" s="241"/>
      <c r="D276" s="13"/>
      <c r="E276" s="108">
        <f t="shared" si="47"/>
        <v>0</v>
      </c>
      <c r="F276" s="108"/>
      <c r="G276" s="108">
        <f t="shared" si="48"/>
        <v>0</v>
      </c>
      <c r="H276" s="108"/>
      <c r="I276" s="79"/>
      <c r="J276" s="108">
        <v>0</v>
      </c>
      <c r="K276" s="108"/>
      <c r="L276" s="260"/>
      <c r="M276" s="82"/>
    </row>
    <row r="277" spans="1:13" ht="24.75" customHeight="1">
      <c r="A277" s="77"/>
      <c r="B277" s="71"/>
      <c r="C277" s="241"/>
      <c r="D277" s="222"/>
      <c r="E277" s="249">
        <f t="shared" si="47"/>
        <v>0</v>
      </c>
      <c r="F277" s="249"/>
      <c r="G277" s="249">
        <f t="shared" si="48"/>
        <v>0</v>
      </c>
      <c r="H277" s="249"/>
      <c r="I277" s="248"/>
      <c r="J277" s="249">
        <v>0</v>
      </c>
      <c r="K277" s="249"/>
      <c r="L277" s="260"/>
      <c r="M277" s="82"/>
    </row>
    <row r="278" spans="1:13" ht="30" customHeight="1">
      <c r="A278" s="77"/>
      <c r="B278" s="96" t="s">
        <v>166</v>
      </c>
      <c r="C278" s="261"/>
      <c r="D278" s="217">
        <v>2020</v>
      </c>
      <c r="E278" s="253">
        <f>SUM(E279:E287)</f>
        <v>16055.751890000003</v>
      </c>
      <c r="F278" s="253">
        <f>SUM(F279:F287)</f>
        <v>0</v>
      </c>
      <c r="G278" s="253">
        <f>SUM(G279:G287)</f>
        <v>0</v>
      </c>
      <c r="H278" s="253">
        <f>SUM(H279:H287)</f>
        <v>0</v>
      </c>
      <c r="I278" s="253">
        <f>SUM(I279:I287)</f>
        <v>0</v>
      </c>
      <c r="J278" s="253">
        <f>SUM(J279:J287)</f>
        <v>16055.751890000003</v>
      </c>
      <c r="K278" s="253">
        <f>SUM(K279:K286)</f>
        <v>0</v>
      </c>
      <c r="L278" s="262"/>
      <c r="M278" s="82"/>
    </row>
    <row r="279" spans="1:13" ht="30" customHeight="1">
      <c r="A279" s="77"/>
      <c r="B279" s="96"/>
      <c r="C279" s="241" t="s">
        <v>119</v>
      </c>
      <c r="D279" s="263"/>
      <c r="E279" s="264">
        <f aca="true" t="shared" si="49" ref="E279:E287">F279+G279+J279+K279</f>
        <v>7244.213500000001</v>
      </c>
      <c r="F279" s="264"/>
      <c r="G279" s="264">
        <f aca="true" t="shared" si="50" ref="G279:G287">H279+I279</f>
        <v>0</v>
      </c>
      <c r="H279" s="264"/>
      <c r="I279" s="265"/>
      <c r="J279" s="264">
        <f>11000-3806.3995+50.613</f>
        <v>7244.213500000001</v>
      </c>
      <c r="K279" s="264"/>
      <c r="L279" s="259" t="s">
        <v>171</v>
      </c>
      <c r="M279" s="82"/>
    </row>
    <row r="280" spans="1:13" ht="30" customHeight="1">
      <c r="A280" s="77"/>
      <c r="B280" s="96"/>
      <c r="C280" s="261" t="s">
        <v>179</v>
      </c>
      <c r="D280" s="13"/>
      <c r="E280" s="108">
        <f t="shared" si="49"/>
        <v>3323.71263</v>
      </c>
      <c r="F280" s="108"/>
      <c r="G280" s="108">
        <f t="shared" si="50"/>
        <v>0</v>
      </c>
      <c r="H280" s="108"/>
      <c r="I280" s="79"/>
      <c r="J280" s="108">
        <f>7142.742-3660.764-307.2291+148.96373</f>
        <v>3323.71263</v>
      </c>
      <c r="K280" s="108"/>
      <c r="L280" s="266" t="s">
        <v>182</v>
      </c>
      <c r="M280" s="82"/>
    </row>
    <row r="281" spans="1:13" ht="30" customHeight="1">
      <c r="A281" s="77"/>
      <c r="B281" s="96"/>
      <c r="C281" s="261" t="s">
        <v>106</v>
      </c>
      <c r="D281" s="13"/>
      <c r="E281" s="108">
        <f t="shared" si="49"/>
        <v>1525.96188</v>
      </c>
      <c r="F281" s="108"/>
      <c r="G281" s="108">
        <f t="shared" si="50"/>
        <v>0</v>
      </c>
      <c r="H281" s="108"/>
      <c r="I281" s="79"/>
      <c r="J281" s="108">
        <f>2400-794.205-3.89412-75.939</f>
        <v>1525.96188</v>
      </c>
      <c r="K281" s="108"/>
      <c r="L281" s="266" t="s">
        <v>182</v>
      </c>
      <c r="M281" s="82"/>
    </row>
    <row r="282" spans="1:13" ht="30" customHeight="1">
      <c r="A282" s="77"/>
      <c r="B282" s="96"/>
      <c r="C282" s="261" t="s">
        <v>124</v>
      </c>
      <c r="D282" s="222"/>
      <c r="E282" s="108">
        <f t="shared" si="49"/>
        <v>927.09288</v>
      </c>
      <c r="F282" s="249"/>
      <c r="G282" s="108">
        <f t="shared" si="50"/>
        <v>0</v>
      </c>
      <c r="H282" s="249"/>
      <c r="I282" s="248"/>
      <c r="J282" s="249">
        <f>1065.624-138.53112</f>
        <v>927.09288</v>
      </c>
      <c r="K282" s="249"/>
      <c r="L282" s="266" t="s">
        <v>177</v>
      </c>
      <c r="M282" s="82"/>
    </row>
    <row r="283" spans="1:13" ht="30" customHeight="1">
      <c r="A283" s="77"/>
      <c r="B283" s="96"/>
      <c r="C283" s="261" t="s">
        <v>179</v>
      </c>
      <c r="D283" s="222"/>
      <c r="E283" s="108">
        <f t="shared" si="49"/>
        <v>50.313</v>
      </c>
      <c r="F283" s="249"/>
      <c r="G283" s="108">
        <f t="shared" si="50"/>
        <v>0</v>
      </c>
      <c r="H283" s="249"/>
      <c r="I283" s="248"/>
      <c r="J283" s="249">
        <f>100-49.687</f>
        <v>50.313</v>
      </c>
      <c r="K283" s="249"/>
      <c r="L283" s="266" t="s">
        <v>179</v>
      </c>
      <c r="M283" s="82"/>
    </row>
    <row r="284" spans="1:13" ht="30" customHeight="1">
      <c r="A284" s="77"/>
      <c r="B284" s="96"/>
      <c r="C284" s="261" t="s">
        <v>124</v>
      </c>
      <c r="D284" s="222"/>
      <c r="E284" s="108">
        <f t="shared" si="49"/>
        <v>2169.525</v>
      </c>
      <c r="F284" s="249"/>
      <c r="G284" s="108">
        <f t="shared" si="50"/>
        <v>0</v>
      </c>
      <c r="H284" s="249"/>
      <c r="I284" s="248"/>
      <c r="J284" s="249">
        <f>1699.525+470</f>
        <v>2169.525</v>
      </c>
      <c r="K284" s="249"/>
      <c r="L284" s="266" t="s">
        <v>124</v>
      </c>
      <c r="M284" s="82"/>
    </row>
    <row r="285" spans="1:13" ht="30" customHeight="1">
      <c r="A285" s="77"/>
      <c r="B285" s="96"/>
      <c r="C285" s="261" t="s">
        <v>118</v>
      </c>
      <c r="D285" s="222"/>
      <c r="E285" s="108">
        <f t="shared" si="49"/>
        <v>342.134</v>
      </c>
      <c r="F285" s="249"/>
      <c r="G285" s="108">
        <f t="shared" si="50"/>
        <v>0</v>
      </c>
      <c r="H285" s="249"/>
      <c r="I285" s="248"/>
      <c r="J285" s="249">
        <v>342.134</v>
      </c>
      <c r="K285" s="249"/>
      <c r="L285" s="266" t="s">
        <v>118</v>
      </c>
      <c r="M285" s="82"/>
    </row>
    <row r="286" spans="1:13" ht="30" customHeight="1">
      <c r="A286" s="77"/>
      <c r="B286" s="96"/>
      <c r="C286" s="267" t="s">
        <v>119</v>
      </c>
      <c r="D286" s="222"/>
      <c r="E286" s="249">
        <f t="shared" si="49"/>
        <v>48.53</v>
      </c>
      <c r="F286" s="249"/>
      <c r="G286" s="249">
        <f t="shared" si="50"/>
        <v>0</v>
      </c>
      <c r="H286" s="249"/>
      <c r="I286" s="248"/>
      <c r="J286" s="249">
        <f>66.985-18.455</f>
        <v>48.53</v>
      </c>
      <c r="K286" s="249"/>
      <c r="L286" s="268" t="s">
        <v>119</v>
      </c>
      <c r="M286" s="82"/>
    </row>
    <row r="287" spans="1:13" ht="30" customHeight="1">
      <c r="A287" s="77"/>
      <c r="B287" s="96"/>
      <c r="C287" s="247" t="s">
        <v>106</v>
      </c>
      <c r="D287" s="222"/>
      <c r="E287" s="249">
        <f t="shared" si="49"/>
        <v>424.269</v>
      </c>
      <c r="F287" s="249"/>
      <c r="G287" s="249">
        <f t="shared" si="50"/>
        <v>0</v>
      </c>
      <c r="H287" s="249"/>
      <c r="I287" s="248"/>
      <c r="J287" s="249">
        <f>495.342-71.073</f>
        <v>424.269</v>
      </c>
      <c r="K287" s="249"/>
      <c r="L287" s="269" t="s">
        <v>106</v>
      </c>
      <c r="M287" s="82"/>
    </row>
    <row r="288" spans="1:13" ht="62.25" customHeight="1">
      <c r="A288" s="77"/>
      <c r="B288" s="270" t="s">
        <v>166</v>
      </c>
      <c r="C288" s="241"/>
      <c r="D288" s="13">
        <v>2021</v>
      </c>
      <c r="E288" s="79">
        <f>SUM(E289:E336)</f>
        <v>14302.94293</v>
      </c>
      <c r="F288" s="79">
        <f>SUM(F289:F336)</f>
        <v>0</v>
      </c>
      <c r="G288" s="79">
        <f>SUM(G289:G336)</f>
        <v>0</v>
      </c>
      <c r="H288" s="79">
        <f>SUM(H289:H336)</f>
        <v>0</v>
      </c>
      <c r="I288" s="79">
        <f>SUM(I289:I336)</f>
        <v>0</v>
      </c>
      <c r="J288" s="79">
        <f>SUM(J289:J336)</f>
        <v>14302.94293</v>
      </c>
      <c r="K288" s="79">
        <f>SUM(K289:K336)</f>
        <v>0</v>
      </c>
      <c r="L288" s="259"/>
      <c r="M288" s="82"/>
    </row>
    <row r="289" spans="1:13" ht="36" customHeight="1">
      <c r="A289" s="77"/>
      <c r="B289" s="271" t="s">
        <v>183</v>
      </c>
      <c r="C289" s="96" t="s">
        <v>118</v>
      </c>
      <c r="D289" s="13"/>
      <c r="E289" s="108">
        <f aca="true" t="shared" si="51" ref="E289:E290">F289+G289+J289+K289</f>
        <v>538.447</v>
      </c>
      <c r="F289" s="108"/>
      <c r="G289" s="108"/>
      <c r="H289" s="108"/>
      <c r="I289" s="79"/>
      <c r="J289" s="108">
        <v>538.447</v>
      </c>
      <c r="K289" s="108"/>
      <c r="L289" s="242" t="s">
        <v>171</v>
      </c>
      <c r="M289" s="82"/>
    </row>
    <row r="290" spans="1:13" ht="51" customHeight="1">
      <c r="A290" s="77"/>
      <c r="B290" s="271" t="s">
        <v>184</v>
      </c>
      <c r="C290" s="96"/>
      <c r="D290" s="222"/>
      <c r="E290" s="108">
        <f t="shared" si="51"/>
        <v>0</v>
      </c>
      <c r="F290" s="249"/>
      <c r="G290" s="249"/>
      <c r="H290" s="249"/>
      <c r="I290" s="248"/>
      <c r="J290" s="249">
        <v>0</v>
      </c>
      <c r="K290" s="249"/>
      <c r="L290" s="242"/>
      <c r="M290" s="82"/>
    </row>
    <row r="291" spans="1:13" ht="22.5" customHeight="1">
      <c r="A291" s="77"/>
      <c r="B291" s="271" t="s">
        <v>185</v>
      </c>
      <c r="C291" s="96"/>
      <c r="D291" s="222"/>
      <c r="E291" s="108">
        <f aca="true" t="shared" si="52" ref="E291:E292">J291+I291+H291</f>
        <v>545.791</v>
      </c>
      <c r="F291" s="249"/>
      <c r="G291" s="249"/>
      <c r="H291" s="249"/>
      <c r="I291" s="248"/>
      <c r="J291" s="249">
        <f>503.798+41.993</f>
        <v>545.791</v>
      </c>
      <c r="K291" s="249"/>
      <c r="L291" s="242" t="s">
        <v>186</v>
      </c>
      <c r="M291" s="82"/>
    </row>
    <row r="292" spans="1:13" ht="36" customHeight="1">
      <c r="A292" s="77"/>
      <c r="B292" s="271" t="s">
        <v>187</v>
      </c>
      <c r="C292" s="96"/>
      <c r="D292" s="222"/>
      <c r="E292" s="108">
        <f t="shared" si="52"/>
        <v>188.901</v>
      </c>
      <c r="F292" s="249"/>
      <c r="G292" s="249"/>
      <c r="H292" s="249"/>
      <c r="I292" s="248"/>
      <c r="J292" s="249">
        <v>188.901</v>
      </c>
      <c r="K292" s="249"/>
      <c r="L292" s="242"/>
      <c r="M292" s="82"/>
    </row>
    <row r="293" spans="1:13" ht="40.5" customHeight="1">
      <c r="A293" s="77"/>
      <c r="B293" s="85" t="s">
        <v>188</v>
      </c>
      <c r="C293" s="242" t="s">
        <v>119</v>
      </c>
      <c r="D293" s="222"/>
      <c r="E293" s="108">
        <f aca="true" t="shared" si="53" ref="E293:E311">F293+G293+J293+K293</f>
        <v>552.756</v>
      </c>
      <c r="F293" s="249"/>
      <c r="G293" s="249"/>
      <c r="H293" s="249"/>
      <c r="I293" s="248"/>
      <c r="J293" s="272">
        <v>552.756</v>
      </c>
      <c r="K293" s="249"/>
      <c r="L293" s="242" t="s">
        <v>171</v>
      </c>
      <c r="M293" s="82"/>
    </row>
    <row r="294" spans="1:13" ht="51" customHeight="1">
      <c r="A294" s="77"/>
      <c r="B294" s="85" t="s">
        <v>189</v>
      </c>
      <c r="C294" s="242"/>
      <c r="D294" s="222"/>
      <c r="E294" s="108">
        <f t="shared" si="53"/>
        <v>0</v>
      </c>
      <c r="F294" s="249"/>
      <c r="G294" s="249"/>
      <c r="H294" s="249"/>
      <c r="I294" s="248"/>
      <c r="J294" s="272">
        <v>0</v>
      </c>
      <c r="K294" s="249"/>
      <c r="L294" s="242"/>
      <c r="M294" s="82"/>
    </row>
    <row r="295" spans="1:13" ht="40.5" customHeight="1">
      <c r="A295" s="77"/>
      <c r="B295" s="85" t="s">
        <v>190</v>
      </c>
      <c r="C295" s="242"/>
      <c r="D295" s="222"/>
      <c r="E295" s="108">
        <f t="shared" si="53"/>
        <v>206.2234</v>
      </c>
      <c r="F295" s="249"/>
      <c r="G295" s="249"/>
      <c r="H295" s="249"/>
      <c r="I295" s="248"/>
      <c r="J295" s="272">
        <v>206.2234</v>
      </c>
      <c r="K295" s="249"/>
      <c r="L295" s="242"/>
      <c r="M295" s="82"/>
    </row>
    <row r="296" spans="1:13" ht="29.25" customHeight="1">
      <c r="A296" s="77"/>
      <c r="B296" s="271" t="s">
        <v>191</v>
      </c>
      <c r="C296" s="242"/>
      <c r="D296" s="222"/>
      <c r="E296" s="108">
        <f t="shared" si="53"/>
        <v>67.09473</v>
      </c>
      <c r="F296" s="249"/>
      <c r="G296" s="249"/>
      <c r="H296" s="249"/>
      <c r="I296" s="248"/>
      <c r="J296" s="273">
        <v>67.09473</v>
      </c>
      <c r="K296" s="249"/>
      <c r="L296" s="242"/>
      <c r="M296" s="82"/>
    </row>
    <row r="297" spans="1:13" ht="30.75" customHeight="1">
      <c r="A297" s="77"/>
      <c r="B297" s="274" t="s">
        <v>192</v>
      </c>
      <c r="C297" s="275" t="s">
        <v>119</v>
      </c>
      <c r="D297" s="222"/>
      <c r="E297" s="108">
        <f t="shared" si="53"/>
        <v>135.802</v>
      </c>
      <c r="F297" s="249"/>
      <c r="G297" s="249"/>
      <c r="H297" s="249"/>
      <c r="I297" s="248"/>
      <c r="J297" s="249">
        <v>135.802</v>
      </c>
      <c r="K297" s="249"/>
      <c r="L297" s="242" t="s">
        <v>119</v>
      </c>
      <c r="M297" s="82"/>
    </row>
    <row r="298" spans="1:13" ht="30.75" customHeight="1">
      <c r="A298" s="77"/>
      <c r="B298" s="274" t="s">
        <v>193</v>
      </c>
      <c r="C298" s="275"/>
      <c r="D298" s="222"/>
      <c r="E298" s="108">
        <f t="shared" si="53"/>
        <v>274.90139000000005</v>
      </c>
      <c r="F298" s="249"/>
      <c r="G298" s="249"/>
      <c r="H298" s="249"/>
      <c r="I298" s="248"/>
      <c r="J298" s="249">
        <f>268.55799+25.074-18.73361+0.00301</f>
        <v>274.90139000000005</v>
      </c>
      <c r="K298" s="249"/>
      <c r="L298" s="242"/>
      <c r="M298" s="82"/>
    </row>
    <row r="299" spans="1:13" ht="27" customHeight="1">
      <c r="A299" s="77"/>
      <c r="B299" s="274" t="s">
        <v>194</v>
      </c>
      <c r="C299" s="275"/>
      <c r="D299" s="222"/>
      <c r="E299" s="108">
        <f t="shared" si="53"/>
        <v>510.317</v>
      </c>
      <c r="F299" s="249"/>
      <c r="G299" s="249"/>
      <c r="H299" s="249"/>
      <c r="I299" s="248"/>
      <c r="J299" s="249">
        <v>510.317</v>
      </c>
      <c r="K299" s="249"/>
      <c r="L299" s="242"/>
      <c r="M299" s="82"/>
    </row>
    <row r="300" spans="1:13" ht="27" customHeight="1">
      <c r="A300" s="77"/>
      <c r="B300" s="274" t="s">
        <v>195</v>
      </c>
      <c r="C300" s="275"/>
      <c r="D300" s="222"/>
      <c r="E300" s="108">
        <f t="shared" si="53"/>
        <v>4.996</v>
      </c>
      <c r="F300" s="249"/>
      <c r="G300" s="249"/>
      <c r="H300" s="249"/>
      <c r="I300" s="248"/>
      <c r="J300" s="249">
        <v>4.996</v>
      </c>
      <c r="K300" s="249"/>
      <c r="L300" s="242"/>
      <c r="M300" s="82"/>
    </row>
    <row r="301" spans="1:13" ht="30" customHeight="1">
      <c r="A301" s="77"/>
      <c r="B301" s="274" t="s">
        <v>196</v>
      </c>
      <c r="C301" s="275"/>
      <c r="D301" s="222"/>
      <c r="E301" s="108">
        <f t="shared" si="53"/>
        <v>105.696</v>
      </c>
      <c r="F301" s="249"/>
      <c r="G301" s="249"/>
      <c r="H301" s="249"/>
      <c r="I301" s="248"/>
      <c r="J301" s="249">
        <f>35+70.696</f>
        <v>105.696</v>
      </c>
      <c r="K301" s="249"/>
      <c r="L301" s="242"/>
      <c r="M301" s="82"/>
    </row>
    <row r="302" spans="1:13" ht="39.75" customHeight="1">
      <c r="A302" s="77"/>
      <c r="B302" s="85" t="s">
        <v>197</v>
      </c>
      <c r="C302" s="275"/>
      <c r="D302" s="222"/>
      <c r="E302" s="108">
        <f t="shared" si="53"/>
        <v>38.506</v>
      </c>
      <c r="F302" s="249"/>
      <c r="G302" s="249"/>
      <c r="H302" s="249"/>
      <c r="I302" s="248"/>
      <c r="J302" s="249">
        <v>38.506</v>
      </c>
      <c r="K302" s="249"/>
      <c r="L302" s="242"/>
      <c r="M302" s="82"/>
    </row>
    <row r="303" spans="1:13" ht="39.75" customHeight="1">
      <c r="A303" s="77"/>
      <c r="B303" s="85" t="s">
        <v>198</v>
      </c>
      <c r="C303" s="275"/>
      <c r="D303" s="222"/>
      <c r="E303" s="108">
        <f t="shared" si="53"/>
        <v>276.794</v>
      </c>
      <c r="F303" s="249"/>
      <c r="G303" s="249"/>
      <c r="H303" s="249"/>
      <c r="I303" s="248"/>
      <c r="J303" s="249">
        <f>33.131+216.163+27.5</f>
        <v>276.794</v>
      </c>
      <c r="K303" s="249"/>
      <c r="L303" s="242"/>
      <c r="M303" s="82"/>
    </row>
    <row r="304" spans="1:13" ht="39.75" customHeight="1">
      <c r="A304" s="77"/>
      <c r="B304" s="85" t="s">
        <v>199</v>
      </c>
      <c r="C304" s="275"/>
      <c r="D304" s="222"/>
      <c r="E304" s="108">
        <f t="shared" si="53"/>
        <v>510.317</v>
      </c>
      <c r="F304" s="249"/>
      <c r="G304" s="249"/>
      <c r="H304" s="249"/>
      <c r="I304" s="248"/>
      <c r="J304" s="249">
        <v>510.317</v>
      </c>
      <c r="K304" s="249"/>
      <c r="L304" s="242"/>
      <c r="M304" s="82"/>
    </row>
    <row r="305" spans="1:13" ht="40.5" customHeight="1">
      <c r="A305" s="77"/>
      <c r="B305" s="274" t="s">
        <v>200</v>
      </c>
      <c r="C305" s="275"/>
      <c r="D305" s="222"/>
      <c r="E305" s="108">
        <f t="shared" si="53"/>
        <v>73.506</v>
      </c>
      <c r="F305" s="249"/>
      <c r="G305" s="249"/>
      <c r="H305" s="249"/>
      <c r="I305" s="248"/>
      <c r="J305" s="249">
        <v>73.506</v>
      </c>
      <c r="K305" s="249"/>
      <c r="L305" s="242"/>
      <c r="M305" s="82"/>
    </row>
    <row r="306" spans="1:13" ht="34.5" customHeight="1">
      <c r="A306" s="77"/>
      <c r="B306" s="274" t="s">
        <v>201</v>
      </c>
      <c r="C306" s="275"/>
      <c r="D306" s="222"/>
      <c r="E306" s="108">
        <f t="shared" si="53"/>
        <v>20</v>
      </c>
      <c r="F306" s="249"/>
      <c r="G306" s="249"/>
      <c r="H306" s="249"/>
      <c r="I306" s="248"/>
      <c r="J306" s="249">
        <v>20</v>
      </c>
      <c r="K306" s="249"/>
      <c r="L306" s="242"/>
      <c r="M306" s="82"/>
    </row>
    <row r="307" spans="1:13" ht="58.5" customHeight="1">
      <c r="A307" s="77"/>
      <c r="B307" s="274" t="s">
        <v>202</v>
      </c>
      <c r="C307" s="276"/>
      <c r="D307" s="222"/>
      <c r="E307" s="108">
        <f t="shared" si="53"/>
        <v>119.21</v>
      </c>
      <c r="F307" s="249"/>
      <c r="G307" s="249"/>
      <c r="H307" s="249"/>
      <c r="I307" s="248"/>
      <c r="J307" s="277">
        <v>119.21</v>
      </c>
      <c r="K307" s="249"/>
      <c r="L307" s="278"/>
      <c r="M307" s="82"/>
    </row>
    <row r="308" spans="1:13" ht="31.5" customHeight="1">
      <c r="A308" s="77"/>
      <c r="B308" s="274" t="s">
        <v>203</v>
      </c>
      <c r="C308" s="276"/>
      <c r="D308" s="222"/>
      <c r="E308" s="108">
        <f t="shared" si="53"/>
        <v>33.131</v>
      </c>
      <c r="F308" s="249"/>
      <c r="G308" s="249"/>
      <c r="H308" s="249"/>
      <c r="I308" s="248"/>
      <c r="J308" s="277">
        <f>32.62+0.511</f>
        <v>33.131</v>
      </c>
      <c r="K308" s="249"/>
      <c r="L308" s="278"/>
      <c r="M308" s="82"/>
    </row>
    <row r="309" spans="1:13" ht="31.5" customHeight="1">
      <c r="A309" s="77"/>
      <c r="B309" s="85" t="s">
        <v>204</v>
      </c>
      <c r="C309" s="96" t="s">
        <v>120</v>
      </c>
      <c r="D309" s="222"/>
      <c r="E309" s="108">
        <f t="shared" si="53"/>
        <v>176.11524</v>
      </c>
      <c r="F309" s="249"/>
      <c r="G309" s="249"/>
      <c r="H309" s="249"/>
      <c r="I309" s="248"/>
      <c r="J309" s="279">
        <v>176.11524</v>
      </c>
      <c r="K309" s="249"/>
      <c r="L309" s="96" t="s">
        <v>171</v>
      </c>
      <c r="M309" s="82"/>
    </row>
    <row r="310" spans="1:17" ht="20.25" customHeight="1">
      <c r="A310" s="77"/>
      <c r="B310" s="85" t="s">
        <v>205</v>
      </c>
      <c r="C310" s="96"/>
      <c r="D310" s="222"/>
      <c r="E310" s="108">
        <f t="shared" si="53"/>
        <v>236.3839</v>
      </c>
      <c r="F310" s="249"/>
      <c r="G310" s="249"/>
      <c r="H310" s="249"/>
      <c r="I310" s="248"/>
      <c r="J310" s="279">
        <v>236.3839</v>
      </c>
      <c r="K310" s="249"/>
      <c r="L310" s="96"/>
      <c r="M310" s="82"/>
      <c r="Q310" s="280"/>
    </row>
    <row r="311" spans="1:13" ht="21.75" customHeight="1">
      <c r="A311" s="77"/>
      <c r="B311" s="85" t="s">
        <v>206</v>
      </c>
      <c r="C311" s="96"/>
      <c r="D311" s="222"/>
      <c r="E311" s="108">
        <f t="shared" si="53"/>
        <v>0</v>
      </c>
      <c r="F311" s="249"/>
      <c r="G311" s="249"/>
      <c r="H311" s="249"/>
      <c r="I311" s="248"/>
      <c r="J311" s="279">
        <v>0</v>
      </c>
      <c r="K311" s="249"/>
      <c r="L311" s="96"/>
      <c r="M311" s="82"/>
    </row>
    <row r="312" spans="1:13" ht="31.5" customHeight="1">
      <c r="A312" s="77"/>
      <c r="B312" s="281" t="s">
        <v>207</v>
      </c>
      <c r="C312" s="96"/>
      <c r="D312" s="222"/>
      <c r="E312" s="108">
        <f aca="true" t="shared" si="54" ref="E312:E313">J312</f>
        <v>229.44756</v>
      </c>
      <c r="F312" s="249"/>
      <c r="G312" s="249"/>
      <c r="H312" s="249"/>
      <c r="I312" s="248"/>
      <c r="J312" s="279">
        <v>229.44756</v>
      </c>
      <c r="K312" s="249"/>
      <c r="L312" s="96"/>
      <c r="M312" s="82"/>
    </row>
    <row r="313" spans="1:13" ht="21" customHeight="1">
      <c r="A313" s="77"/>
      <c r="B313" s="281" t="s">
        <v>208</v>
      </c>
      <c r="C313" s="96"/>
      <c r="D313" s="222"/>
      <c r="E313" s="108">
        <f t="shared" si="54"/>
        <v>500.68815</v>
      </c>
      <c r="F313" s="249"/>
      <c r="G313" s="249"/>
      <c r="H313" s="249"/>
      <c r="I313" s="248"/>
      <c r="J313" s="279">
        <v>500.68815</v>
      </c>
      <c r="K313" s="249"/>
      <c r="L313" s="96"/>
      <c r="M313" s="82"/>
    </row>
    <row r="314" spans="1:13" ht="21" customHeight="1">
      <c r="A314" s="77"/>
      <c r="B314" s="281" t="s">
        <v>209</v>
      </c>
      <c r="C314" s="96"/>
      <c r="D314" s="282"/>
      <c r="E314" s="108">
        <f aca="true" t="shared" si="55" ref="E314:E336">F314+G314+J314+K314</f>
        <v>28.088</v>
      </c>
      <c r="F314" s="249"/>
      <c r="G314" s="249"/>
      <c r="H314" s="249"/>
      <c r="I314" s="248"/>
      <c r="J314" s="279">
        <v>28.088</v>
      </c>
      <c r="K314" s="249"/>
      <c r="L314" s="96" t="s">
        <v>120</v>
      </c>
      <c r="M314" s="82"/>
    </row>
    <row r="315" spans="1:13" ht="35.25" customHeight="1">
      <c r="A315" s="77"/>
      <c r="B315" s="274" t="s">
        <v>210</v>
      </c>
      <c r="C315" s="96" t="s">
        <v>179</v>
      </c>
      <c r="D315" s="283"/>
      <c r="E315" s="108">
        <f t="shared" si="55"/>
        <v>0</v>
      </c>
      <c r="F315" s="249"/>
      <c r="G315" s="249"/>
      <c r="H315" s="249"/>
      <c r="I315" s="248"/>
      <c r="J315" s="279">
        <v>0</v>
      </c>
      <c r="K315" s="249"/>
      <c r="L315" s="242" t="s">
        <v>171</v>
      </c>
      <c r="M315" s="82"/>
    </row>
    <row r="316" spans="1:13" ht="21.75" customHeight="1">
      <c r="A316" s="77"/>
      <c r="B316" s="85" t="s">
        <v>211</v>
      </c>
      <c r="C316" s="96"/>
      <c r="D316" s="282"/>
      <c r="E316" s="108">
        <f t="shared" si="55"/>
        <v>2452.67376</v>
      </c>
      <c r="F316" s="249"/>
      <c r="G316" s="249"/>
      <c r="H316" s="249"/>
      <c r="I316" s="248"/>
      <c r="J316" s="80">
        <v>2452.67376</v>
      </c>
      <c r="K316" s="249"/>
      <c r="L316" s="242"/>
      <c r="M316" s="82"/>
    </row>
    <row r="317" spans="1:13" ht="36.75" customHeight="1">
      <c r="A317" s="77"/>
      <c r="B317" s="281" t="s">
        <v>212</v>
      </c>
      <c r="C317" s="96"/>
      <c r="D317" s="282"/>
      <c r="E317" s="108">
        <f t="shared" si="55"/>
        <v>453.35073</v>
      </c>
      <c r="F317" s="249"/>
      <c r="G317" s="249"/>
      <c r="H317" s="249"/>
      <c r="I317" s="248"/>
      <c r="J317" s="80">
        <v>453.35073</v>
      </c>
      <c r="K317" s="249"/>
      <c r="L317" s="242"/>
      <c r="M317" s="82"/>
    </row>
    <row r="318" spans="1:13" ht="32.25" customHeight="1">
      <c r="A318" s="77"/>
      <c r="B318" s="281" t="s">
        <v>213</v>
      </c>
      <c r="C318" s="96"/>
      <c r="D318" s="282"/>
      <c r="E318" s="108">
        <f t="shared" si="55"/>
        <v>476.32042</v>
      </c>
      <c r="F318" s="249"/>
      <c r="G318" s="249"/>
      <c r="H318" s="249"/>
      <c r="I318" s="248"/>
      <c r="J318" s="80">
        <v>476.32042</v>
      </c>
      <c r="K318" s="249"/>
      <c r="L318" s="242"/>
      <c r="M318" s="82"/>
    </row>
    <row r="319" spans="1:13" ht="32.25" customHeight="1">
      <c r="A319" s="77"/>
      <c r="B319" s="281" t="s">
        <v>214</v>
      </c>
      <c r="C319" s="96"/>
      <c r="D319" s="282"/>
      <c r="E319" s="108">
        <f t="shared" si="55"/>
        <v>50.531</v>
      </c>
      <c r="F319" s="249"/>
      <c r="G319" s="249"/>
      <c r="H319" s="249"/>
      <c r="I319" s="248"/>
      <c r="J319" s="80">
        <v>50.531</v>
      </c>
      <c r="K319" s="249"/>
      <c r="L319" s="242"/>
      <c r="M319" s="82"/>
    </row>
    <row r="320" spans="1:13" ht="21" customHeight="1">
      <c r="A320" s="77"/>
      <c r="B320" s="281" t="s">
        <v>215</v>
      </c>
      <c r="C320" s="96"/>
      <c r="D320" s="282"/>
      <c r="E320" s="108">
        <f t="shared" si="55"/>
        <v>0</v>
      </c>
      <c r="F320" s="249"/>
      <c r="G320" s="249"/>
      <c r="H320" s="249"/>
      <c r="I320" s="248"/>
      <c r="J320" s="80">
        <v>0</v>
      </c>
      <c r="K320" s="249"/>
      <c r="L320" s="242"/>
      <c r="M320" s="82"/>
    </row>
    <row r="321" spans="1:13" ht="49.5" customHeight="1">
      <c r="A321" s="77"/>
      <c r="B321" s="284" t="s">
        <v>216</v>
      </c>
      <c r="C321" s="96" t="s">
        <v>179</v>
      </c>
      <c r="D321" s="222"/>
      <c r="E321" s="108">
        <f t="shared" si="55"/>
        <v>120</v>
      </c>
      <c r="F321" s="249"/>
      <c r="G321" s="249"/>
      <c r="H321" s="249"/>
      <c r="I321" s="248"/>
      <c r="J321" s="285">
        <f>90+30</f>
        <v>120</v>
      </c>
      <c r="K321" s="249"/>
      <c r="L321" s="286" t="s">
        <v>179</v>
      </c>
      <c r="M321" s="82"/>
    </row>
    <row r="322" spans="1:13" ht="40.5" customHeight="1">
      <c r="A322" s="77"/>
      <c r="B322" s="284" t="s">
        <v>217</v>
      </c>
      <c r="C322" s="96"/>
      <c r="D322" s="222"/>
      <c r="E322" s="108">
        <f t="shared" si="55"/>
        <v>72</v>
      </c>
      <c r="F322" s="249"/>
      <c r="G322" s="249"/>
      <c r="H322" s="249"/>
      <c r="I322" s="248"/>
      <c r="J322" s="285">
        <v>72</v>
      </c>
      <c r="K322" s="249"/>
      <c r="L322" s="287"/>
      <c r="M322" s="82"/>
    </row>
    <row r="323" spans="1:13" ht="40.5" customHeight="1">
      <c r="A323" s="77"/>
      <c r="B323" s="284" t="s">
        <v>218</v>
      </c>
      <c r="C323" s="96"/>
      <c r="D323" s="222"/>
      <c r="E323" s="108">
        <f t="shared" si="55"/>
        <v>415.516</v>
      </c>
      <c r="F323" s="249"/>
      <c r="G323" s="249"/>
      <c r="H323" s="249"/>
      <c r="I323" s="248"/>
      <c r="J323" s="285">
        <v>415.516</v>
      </c>
      <c r="K323" s="249"/>
      <c r="L323" s="287"/>
      <c r="M323" s="82"/>
    </row>
    <row r="324" spans="1:13" ht="51.75" customHeight="1">
      <c r="A324" s="77"/>
      <c r="B324" s="284" t="s">
        <v>219</v>
      </c>
      <c r="C324" s="96"/>
      <c r="D324" s="222"/>
      <c r="E324" s="108">
        <f t="shared" si="55"/>
        <v>0</v>
      </c>
      <c r="F324" s="249"/>
      <c r="G324" s="249"/>
      <c r="H324" s="249"/>
      <c r="I324" s="248"/>
      <c r="J324" s="285">
        <v>0</v>
      </c>
      <c r="K324" s="249"/>
      <c r="L324" s="288" t="s">
        <v>179</v>
      </c>
      <c r="M324" s="82"/>
    </row>
    <row r="325" spans="1:13" ht="40.5" customHeight="1">
      <c r="A325" s="77"/>
      <c r="B325" s="284" t="s">
        <v>220</v>
      </c>
      <c r="C325" s="96"/>
      <c r="D325" s="222"/>
      <c r="E325" s="108">
        <f t="shared" si="55"/>
        <v>0</v>
      </c>
      <c r="F325" s="249"/>
      <c r="G325" s="249"/>
      <c r="H325" s="249"/>
      <c r="I325" s="248"/>
      <c r="J325" s="285">
        <v>0</v>
      </c>
      <c r="K325" s="249"/>
      <c r="L325" s="288"/>
      <c r="M325" s="82"/>
    </row>
    <row r="326" spans="1:13" ht="36.75" customHeight="1">
      <c r="A326" s="77"/>
      <c r="B326" s="284" t="s">
        <v>221</v>
      </c>
      <c r="C326" s="96"/>
      <c r="D326" s="222"/>
      <c r="E326" s="108">
        <f t="shared" si="55"/>
        <v>0</v>
      </c>
      <c r="F326" s="249"/>
      <c r="G326" s="249"/>
      <c r="H326" s="249"/>
      <c r="I326" s="248"/>
      <c r="J326" s="285">
        <v>0</v>
      </c>
      <c r="K326" s="249"/>
      <c r="L326" s="288"/>
      <c r="M326" s="82"/>
    </row>
    <row r="327" spans="1:13" ht="39" customHeight="1">
      <c r="A327" s="77"/>
      <c r="B327" s="284" t="s">
        <v>222</v>
      </c>
      <c r="C327" s="96"/>
      <c r="D327" s="222"/>
      <c r="E327" s="108">
        <f t="shared" si="55"/>
        <v>0</v>
      </c>
      <c r="F327" s="249"/>
      <c r="G327" s="249"/>
      <c r="H327" s="249"/>
      <c r="I327" s="248"/>
      <c r="J327" s="285">
        <v>0</v>
      </c>
      <c r="K327" s="249"/>
      <c r="L327" s="288"/>
      <c r="M327" s="82"/>
    </row>
    <row r="328" spans="1:13" ht="39" customHeight="1">
      <c r="A328" s="77"/>
      <c r="B328" s="289" t="s">
        <v>223</v>
      </c>
      <c r="C328" s="96"/>
      <c r="D328" s="222"/>
      <c r="E328" s="108">
        <f t="shared" si="55"/>
        <v>2693.325</v>
      </c>
      <c r="F328" s="249"/>
      <c r="G328" s="249"/>
      <c r="H328" s="249"/>
      <c r="I328" s="248"/>
      <c r="J328" s="285">
        <f>2693.325</f>
        <v>2693.325</v>
      </c>
      <c r="K328" s="249"/>
      <c r="L328" s="288"/>
      <c r="M328" s="82"/>
    </row>
    <row r="329" spans="1:13" ht="19.5" customHeight="1">
      <c r="A329" s="77"/>
      <c r="B329" s="85" t="s">
        <v>224</v>
      </c>
      <c r="C329" s="96" t="s">
        <v>124</v>
      </c>
      <c r="D329" s="222"/>
      <c r="E329" s="108">
        <f t="shared" si="55"/>
        <v>899.5906500000001</v>
      </c>
      <c r="F329" s="249"/>
      <c r="G329" s="249"/>
      <c r="H329" s="249"/>
      <c r="I329" s="248"/>
      <c r="J329" s="80">
        <f>1042.721+729.809-150.078-45.5575-677.30385</f>
        <v>899.5906500000001</v>
      </c>
      <c r="K329" s="249"/>
      <c r="L329" s="242" t="s">
        <v>171</v>
      </c>
      <c r="M329" s="82"/>
    </row>
    <row r="330" spans="1:13" ht="31.5" customHeight="1">
      <c r="A330" s="77"/>
      <c r="B330" s="290" t="s">
        <v>225</v>
      </c>
      <c r="C330" s="96"/>
      <c r="D330" s="222"/>
      <c r="E330" s="108">
        <f t="shared" si="55"/>
        <v>332.2075</v>
      </c>
      <c r="F330" s="249"/>
      <c r="G330" s="249"/>
      <c r="H330" s="249"/>
      <c r="I330" s="248"/>
      <c r="J330" s="249">
        <f>286.65+45.5575</f>
        <v>332.2075</v>
      </c>
      <c r="K330" s="249"/>
      <c r="L330" s="242"/>
      <c r="M330" s="82"/>
    </row>
    <row r="331" spans="1:13" ht="31.5" customHeight="1">
      <c r="A331" s="77"/>
      <c r="B331" s="290" t="s">
        <v>226</v>
      </c>
      <c r="C331" s="288"/>
      <c r="D331" s="222"/>
      <c r="E331" s="108">
        <f t="shared" si="55"/>
        <v>150.078</v>
      </c>
      <c r="F331" s="249"/>
      <c r="G331" s="249"/>
      <c r="H331" s="249"/>
      <c r="I331" s="248"/>
      <c r="J331" s="277">
        <v>150.078</v>
      </c>
      <c r="K331" s="249"/>
      <c r="L331" s="276" t="s">
        <v>124</v>
      </c>
      <c r="M331" s="82"/>
    </row>
    <row r="332" spans="1:13" ht="35.25" customHeight="1">
      <c r="A332" s="77"/>
      <c r="B332" s="291" t="s">
        <v>227</v>
      </c>
      <c r="C332" s="96" t="s">
        <v>106</v>
      </c>
      <c r="D332" s="222"/>
      <c r="E332" s="108">
        <f t="shared" si="55"/>
        <v>0</v>
      </c>
      <c r="F332" s="249"/>
      <c r="G332" s="249"/>
      <c r="H332" s="249"/>
      <c r="I332" s="248"/>
      <c r="J332" s="292">
        <v>0</v>
      </c>
      <c r="K332" s="249"/>
      <c r="L332" s="242" t="s">
        <v>171</v>
      </c>
      <c r="M332" s="82"/>
    </row>
    <row r="333" spans="1:13" ht="33" customHeight="1">
      <c r="A333" s="77"/>
      <c r="B333" s="85" t="s">
        <v>228</v>
      </c>
      <c r="C333" s="96"/>
      <c r="D333" s="222"/>
      <c r="E333" s="108">
        <f t="shared" si="55"/>
        <v>0</v>
      </c>
      <c r="F333" s="249"/>
      <c r="G333" s="249"/>
      <c r="H333" s="249"/>
      <c r="I333" s="248"/>
      <c r="J333" s="292">
        <v>0</v>
      </c>
      <c r="K333" s="249"/>
      <c r="L333" s="242"/>
      <c r="M333" s="82"/>
    </row>
    <row r="334" spans="1:13" ht="36.75" customHeight="1">
      <c r="A334" s="77"/>
      <c r="B334" s="85" t="s">
        <v>229</v>
      </c>
      <c r="C334" s="96"/>
      <c r="D334" s="222"/>
      <c r="E334" s="108">
        <f t="shared" si="55"/>
        <v>782.0835</v>
      </c>
      <c r="F334" s="249"/>
      <c r="G334" s="249"/>
      <c r="H334" s="249"/>
      <c r="I334" s="248"/>
      <c r="J334" s="292">
        <v>782.0835</v>
      </c>
      <c r="K334" s="249"/>
      <c r="L334" s="242"/>
      <c r="M334" s="82"/>
    </row>
    <row r="335" spans="1:13" ht="21" customHeight="1">
      <c r="A335" s="77"/>
      <c r="B335" s="85"/>
      <c r="C335" s="96"/>
      <c r="D335" s="222"/>
      <c r="E335" s="108">
        <f t="shared" si="55"/>
        <v>0</v>
      </c>
      <c r="F335" s="249"/>
      <c r="G335" s="249"/>
      <c r="H335" s="249"/>
      <c r="I335" s="248"/>
      <c r="J335" s="292"/>
      <c r="K335" s="249"/>
      <c r="L335" s="242"/>
      <c r="M335" s="82"/>
    </row>
    <row r="336" spans="1:13" ht="32.25" customHeight="1">
      <c r="A336" s="77"/>
      <c r="B336" s="293" t="s">
        <v>230</v>
      </c>
      <c r="C336" s="96"/>
      <c r="D336" s="222"/>
      <c r="E336" s="249">
        <f t="shared" si="55"/>
        <v>32.154</v>
      </c>
      <c r="F336" s="249"/>
      <c r="G336" s="249"/>
      <c r="H336" s="249"/>
      <c r="I336" s="248"/>
      <c r="J336" s="294">
        <v>32.154</v>
      </c>
      <c r="K336" s="249"/>
      <c r="L336" s="202" t="s">
        <v>106</v>
      </c>
      <c r="M336" s="82"/>
    </row>
    <row r="337" spans="1:13" ht="22.5" customHeight="1">
      <c r="A337" s="77"/>
      <c r="B337" s="271"/>
      <c r="C337" s="295"/>
      <c r="D337" s="217">
        <v>2022</v>
      </c>
      <c r="E337" s="253">
        <f>E338</f>
        <v>0</v>
      </c>
      <c r="F337" s="253">
        <f>F338</f>
        <v>0</v>
      </c>
      <c r="G337" s="253">
        <f>G338</f>
        <v>0</v>
      </c>
      <c r="H337" s="253">
        <f>H338</f>
        <v>0</v>
      </c>
      <c r="I337" s="253">
        <f>I338</f>
        <v>0</v>
      </c>
      <c r="J337" s="253">
        <f>J338</f>
        <v>0</v>
      </c>
      <c r="K337" s="254">
        <f>K338</f>
        <v>0</v>
      </c>
      <c r="L337" s="296"/>
      <c r="M337" s="82"/>
    </row>
    <row r="338" spans="1:13" ht="24.75" customHeight="1">
      <c r="A338" s="77"/>
      <c r="B338" s="297" t="s">
        <v>166</v>
      </c>
      <c r="C338" s="256" t="s">
        <v>119</v>
      </c>
      <c r="D338" s="54">
        <v>2022</v>
      </c>
      <c r="E338" s="257">
        <f aca="true" t="shared" si="56" ref="E338:E349">F338+G338+J338+K338</f>
        <v>0</v>
      </c>
      <c r="F338" s="257"/>
      <c r="G338" s="108">
        <f aca="true" t="shared" si="57" ref="G338:G349">H338+I338</f>
        <v>0</v>
      </c>
      <c r="H338" s="257"/>
      <c r="I338" s="258"/>
      <c r="J338" s="257">
        <v>0</v>
      </c>
      <c r="K338" s="257"/>
      <c r="L338" s="298" t="s">
        <v>171</v>
      </c>
      <c r="M338" s="82"/>
    </row>
    <row r="339" spans="1:13" ht="30" customHeight="1">
      <c r="A339" s="77"/>
      <c r="B339" s="297"/>
      <c r="C339" s="241" t="s">
        <v>178</v>
      </c>
      <c r="D339" s="13">
        <v>2019</v>
      </c>
      <c r="E339" s="108">
        <f t="shared" si="56"/>
        <v>0</v>
      </c>
      <c r="F339" s="108"/>
      <c r="G339" s="108">
        <f t="shared" si="57"/>
        <v>0</v>
      </c>
      <c r="H339" s="108"/>
      <c r="I339" s="108"/>
      <c r="J339" s="79">
        <v>0</v>
      </c>
      <c r="K339" s="108"/>
      <c r="L339" s="259" t="s">
        <v>135</v>
      </c>
      <c r="M339" s="82"/>
    </row>
    <row r="340" spans="1:13" ht="24.75" customHeight="1">
      <c r="A340" s="77"/>
      <c r="B340" s="241" t="s">
        <v>166</v>
      </c>
      <c r="C340" s="241"/>
      <c r="D340" s="13">
        <v>2020</v>
      </c>
      <c r="E340" s="79">
        <f t="shared" si="56"/>
        <v>0</v>
      </c>
      <c r="F340" s="108"/>
      <c r="G340" s="108">
        <f t="shared" si="57"/>
        <v>0</v>
      </c>
      <c r="H340" s="108"/>
      <c r="I340" s="79"/>
      <c r="J340" s="79">
        <v>0</v>
      </c>
      <c r="K340" s="108">
        <v>0</v>
      </c>
      <c r="L340" s="242" t="s">
        <v>171</v>
      </c>
      <c r="M340" s="82"/>
    </row>
    <row r="341" spans="1:13" ht="24.75" customHeight="1">
      <c r="A341" s="77"/>
      <c r="B341" s="241"/>
      <c r="C341" s="241"/>
      <c r="D341" s="13">
        <v>2021</v>
      </c>
      <c r="E341" s="79">
        <f t="shared" si="56"/>
        <v>0</v>
      </c>
      <c r="F341" s="108"/>
      <c r="G341" s="108">
        <f t="shared" si="57"/>
        <v>0</v>
      </c>
      <c r="H341" s="108"/>
      <c r="I341" s="79"/>
      <c r="J341" s="79">
        <v>0</v>
      </c>
      <c r="K341" s="108">
        <v>0</v>
      </c>
      <c r="L341" s="242" t="s">
        <v>171</v>
      </c>
      <c r="M341" s="82"/>
    </row>
    <row r="342" spans="1:13" ht="24.75" customHeight="1">
      <c r="A342" s="77"/>
      <c r="B342" s="241"/>
      <c r="C342" s="241"/>
      <c r="D342" s="13">
        <v>2022</v>
      </c>
      <c r="E342" s="79">
        <f t="shared" si="56"/>
        <v>4938.783</v>
      </c>
      <c r="F342" s="108"/>
      <c r="G342" s="108">
        <f t="shared" si="57"/>
        <v>0</v>
      </c>
      <c r="H342" s="108"/>
      <c r="I342" s="79"/>
      <c r="J342" s="79">
        <v>4938.783</v>
      </c>
      <c r="K342" s="108">
        <v>0</v>
      </c>
      <c r="L342" s="242" t="s">
        <v>171</v>
      </c>
      <c r="M342" s="82"/>
    </row>
    <row r="343" spans="1:13" ht="24.75" customHeight="1">
      <c r="A343" s="77" t="s">
        <v>231</v>
      </c>
      <c r="B343" s="241"/>
      <c r="C343" s="241" t="s">
        <v>173</v>
      </c>
      <c r="D343" s="13">
        <v>2017</v>
      </c>
      <c r="E343" s="79">
        <f t="shared" si="56"/>
        <v>6400.301</v>
      </c>
      <c r="F343" s="108"/>
      <c r="G343" s="108">
        <f t="shared" si="57"/>
        <v>0</v>
      </c>
      <c r="H343" s="108"/>
      <c r="I343" s="79"/>
      <c r="J343" s="79">
        <v>6400.301</v>
      </c>
      <c r="K343" s="108">
        <v>0</v>
      </c>
      <c r="L343" s="242" t="s">
        <v>171</v>
      </c>
      <c r="M343" s="82"/>
    </row>
    <row r="344" spans="1:13" ht="24.75" customHeight="1">
      <c r="A344" s="77"/>
      <c r="B344" s="243" t="s">
        <v>232</v>
      </c>
      <c r="C344" s="241" t="s">
        <v>175</v>
      </c>
      <c r="D344" s="13"/>
      <c r="E344" s="79">
        <f t="shared" si="56"/>
        <v>1458.533</v>
      </c>
      <c r="F344" s="108"/>
      <c r="G344" s="108">
        <f t="shared" si="57"/>
        <v>0</v>
      </c>
      <c r="H344" s="108"/>
      <c r="I344" s="79"/>
      <c r="J344" s="79">
        <v>1458.533</v>
      </c>
      <c r="K344" s="108">
        <v>0</v>
      </c>
      <c r="L344" s="242" t="s">
        <v>63</v>
      </c>
      <c r="M344" s="82"/>
    </row>
    <row r="345" spans="1:13" ht="24.75" customHeight="1">
      <c r="A345" s="77" t="s">
        <v>233</v>
      </c>
      <c r="B345" s="243"/>
      <c r="C345" s="241" t="s">
        <v>27</v>
      </c>
      <c r="D345" s="15">
        <v>2017</v>
      </c>
      <c r="E345" s="79">
        <f t="shared" si="56"/>
        <v>2177.928</v>
      </c>
      <c r="F345" s="108"/>
      <c r="G345" s="299">
        <f t="shared" si="57"/>
        <v>0</v>
      </c>
      <c r="H345" s="299"/>
      <c r="I345" s="300"/>
      <c r="J345" s="300">
        <v>2177.928</v>
      </c>
      <c r="K345" s="299">
        <v>0</v>
      </c>
      <c r="L345" s="242" t="s">
        <v>171</v>
      </c>
      <c r="M345" s="82"/>
    </row>
    <row r="346" spans="1:13" ht="27.75" customHeight="1">
      <c r="A346" s="77"/>
      <c r="B346" s="243" t="s">
        <v>234</v>
      </c>
      <c r="C346" s="241" t="s">
        <v>24</v>
      </c>
      <c r="D346" s="15"/>
      <c r="E346" s="79">
        <f t="shared" si="56"/>
        <v>431.162</v>
      </c>
      <c r="F346" s="108"/>
      <c r="G346" s="299">
        <f t="shared" si="57"/>
        <v>0</v>
      </c>
      <c r="H346" s="299"/>
      <c r="I346" s="300"/>
      <c r="J346" s="300">
        <v>431.162</v>
      </c>
      <c r="K346" s="299">
        <v>0</v>
      </c>
      <c r="L346" s="242" t="s">
        <v>63</v>
      </c>
      <c r="M346" s="82"/>
    </row>
    <row r="347" spans="1:13" ht="24.75" customHeight="1">
      <c r="A347" s="77" t="s">
        <v>235</v>
      </c>
      <c r="B347" s="243"/>
      <c r="C347" s="241"/>
      <c r="D347" s="301">
        <v>2017</v>
      </c>
      <c r="E347" s="79">
        <f t="shared" si="56"/>
        <v>4135.29</v>
      </c>
      <c r="F347" s="108"/>
      <c r="G347" s="299">
        <f t="shared" si="57"/>
        <v>0</v>
      </c>
      <c r="H347" s="299"/>
      <c r="I347" s="300"/>
      <c r="J347" s="300">
        <v>4135.29</v>
      </c>
      <c r="K347" s="299">
        <v>0</v>
      </c>
      <c r="L347" s="242" t="s">
        <v>171</v>
      </c>
      <c r="M347" s="82"/>
    </row>
    <row r="348" spans="1:13" ht="24.75" customHeight="1">
      <c r="A348" s="77"/>
      <c r="B348" s="243" t="s">
        <v>236</v>
      </c>
      <c r="C348" s="241" t="s">
        <v>167</v>
      </c>
      <c r="D348" s="301"/>
      <c r="E348" s="79">
        <f t="shared" si="56"/>
        <v>10933.428</v>
      </c>
      <c r="F348" s="108"/>
      <c r="G348" s="299">
        <f t="shared" si="57"/>
        <v>0</v>
      </c>
      <c r="H348" s="299"/>
      <c r="I348" s="300"/>
      <c r="J348" s="300">
        <v>10933.428</v>
      </c>
      <c r="K348" s="299">
        <v>0</v>
      </c>
      <c r="L348" s="242"/>
      <c r="M348" s="82"/>
    </row>
    <row r="349" spans="1:13" ht="31.5" customHeight="1">
      <c r="A349" s="77"/>
      <c r="B349" s="243"/>
      <c r="C349" s="241" t="s">
        <v>167</v>
      </c>
      <c r="D349" s="301"/>
      <c r="E349" s="248">
        <f t="shared" si="56"/>
        <v>897.642</v>
      </c>
      <c r="F349" s="249"/>
      <c r="G349" s="302">
        <f t="shared" si="57"/>
        <v>0</v>
      </c>
      <c r="H349" s="302"/>
      <c r="I349" s="303"/>
      <c r="J349" s="303">
        <v>897.642</v>
      </c>
      <c r="K349" s="302">
        <v>0</v>
      </c>
      <c r="L349" s="242" t="s">
        <v>63</v>
      </c>
      <c r="M349" s="82"/>
    </row>
    <row r="350" spans="1:13" ht="24.75" customHeight="1">
      <c r="A350" s="22" t="s">
        <v>237</v>
      </c>
      <c r="B350" s="243"/>
      <c r="C350" s="304"/>
      <c r="D350" s="126">
        <v>2018</v>
      </c>
      <c r="E350" s="253">
        <f>F350+J350+K350</f>
        <v>1130.874</v>
      </c>
      <c r="F350" s="305">
        <f>SUM(F351:F357)</f>
        <v>0</v>
      </c>
      <c r="G350" s="305">
        <f>SUM(G351:G357)</f>
        <v>0</v>
      </c>
      <c r="H350" s="305">
        <f>SUM(H351:H357)</f>
        <v>0</v>
      </c>
      <c r="I350" s="305">
        <f>SUM(I351:I357)</f>
        <v>0</v>
      </c>
      <c r="J350" s="305">
        <f>SUM(J351:J357)</f>
        <v>1130.874</v>
      </c>
      <c r="K350" s="306">
        <f>SUM(K351:K357)</f>
        <v>0</v>
      </c>
      <c r="L350" s="307"/>
      <c r="M350" s="308" t="s">
        <v>238</v>
      </c>
    </row>
    <row r="351" spans="1:13" ht="24.75" customHeight="1">
      <c r="A351" s="22"/>
      <c r="B351" s="309" t="s">
        <v>239</v>
      </c>
      <c r="C351" s="310"/>
      <c r="D351" s="311"/>
      <c r="E351" s="257">
        <f aca="true" t="shared" si="58" ref="E351:E357">F351+G351+J351+K351</f>
        <v>0</v>
      </c>
      <c r="F351" s="312"/>
      <c r="G351" s="313">
        <f aca="true" t="shared" si="59" ref="G351:G357">H351+I351</f>
        <v>0</v>
      </c>
      <c r="H351" s="314"/>
      <c r="I351" s="313">
        <v>0</v>
      </c>
      <c r="J351" s="313">
        <v>0</v>
      </c>
      <c r="K351" s="314"/>
      <c r="L351" s="315"/>
      <c r="M351" s="308"/>
    </row>
    <row r="352" spans="1:13" ht="24.75" customHeight="1">
      <c r="A352" s="22"/>
      <c r="B352" s="309"/>
      <c r="C352" s="310" t="s">
        <v>240</v>
      </c>
      <c r="D352" s="15"/>
      <c r="E352" s="108">
        <f t="shared" si="58"/>
        <v>32.401</v>
      </c>
      <c r="F352" s="316"/>
      <c r="G352" s="299">
        <f t="shared" si="59"/>
        <v>0</v>
      </c>
      <c r="H352" s="299"/>
      <c r="I352" s="300"/>
      <c r="J352" s="108">
        <f>24+9.98-1.579</f>
        <v>32.401</v>
      </c>
      <c r="K352" s="299"/>
      <c r="L352" s="317" t="s">
        <v>240</v>
      </c>
      <c r="M352" s="308"/>
    </row>
    <row r="353" spans="1:13" ht="24.75" customHeight="1">
      <c r="A353" s="22"/>
      <c r="B353" s="309"/>
      <c r="C353" s="310" t="s">
        <v>241</v>
      </c>
      <c r="D353" s="15"/>
      <c r="E353" s="108">
        <f t="shared" si="58"/>
        <v>202.33000000000004</v>
      </c>
      <c r="F353" s="316"/>
      <c r="G353" s="299">
        <f t="shared" si="59"/>
        <v>0</v>
      </c>
      <c r="H353" s="299"/>
      <c r="I353" s="300"/>
      <c r="J353" s="108">
        <f>304.8-99.63174-2.83826</f>
        <v>202.33000000000004</v>
      </c>
      <c r="K353" s="299"/>
      <c r="L353" s="317" t="s">
        <v>241</v>
      </c>
      <c r="M353" s="308"/>
    </row>
    <row r="354" spans="1:13" ht="24.75" customHeight="1">
      <c r="A354" s="22"/>
      <c r="B354" s="309"/>
      <c r="C354" s="310" t="s">
        <v>242</v>
      </c>
      <c r="D354" s="15"/>
      <c r="E354" s="108">
        <f t="shared" si="58"/>
        <v>193.929</v>
      </c>
      <c r="F354" s="316"/>
      <c r="G354" s="299">
        <f t="shared" si="59"/>
        <v>0</v>
      </c>
      <c r="H354" s="299"/>
      <c r="I354" s="300"/>
      <c r="J354" s="299">
        <f>138.5+55.429</f>
        <v>193.929</v>
      </c>
      <c r="K354" s="299"/>
      <c r="L354" s="317" t="s">
        <v>242</v>
      </c>
      <c r="M354" s="308"/>
    </row>
    <row r="355" spans="1:13" ht="24.75" customHeight="1">
      <c r="A355" s="22"/>
      <c r="B355" s="309"/>
      <c r="C355" s="310"/>
      <c r="D355" s="15"/>
      <c r="E355" s="108">
        <f t="shared" si="58"/>
        <v>522.2139999999999</v>
      </c>
      <c r="F355" s="316"/>
      <c r="G355" s="299">
        <f t="shared" si="59"/>
        <v>0</v>
      </c>
      <c r="H355" s="299"/>
      <c r="I355" s="300"/>
      <c r="J355" s="299">
        <f>874-134.152-30-249.634+62</f>
        <v>522.2139999999999</v>
      </c>
      <c r="K355" s="299"/>
      <c r="L355" s="317" t="s">
        <v>179</v>
      </c>
      <c r="M355" s="308"/>
    </row>
    <row r="356" spans="1:13" ht="24.75" customHeight="1">
      <c r="A356" s="22"/>
      <c r="B356" s="309"/>
      <c r="C356" s="310"/>
      <c r="D356" s="15"/>
      <c r="E356" s="108">
        <f t="shared" si="58"/>
        <v>40</v>
      </c>
      <c r="F356" s="316"/>
      <c r="G356" s="299">
        <f t="shared" si="59"/>
        <v>0</v>
      </c>
      <c r="H356" s="299"/>
      <c r="I356" s="300"/>
      <c r="J356" s="299">
        <f>100-60</f>
        <v>40</v>
      </c>
      <c r="K356" s="299"/>
      <c r="L356" s="317" t="s">
        <v>124</v>
      </c>
      <c r="M356" s="308"/>
    </row>
    <row r="357" spans="1:13" ht="24.75" customHeight="1">
      <c r="A357" s="22"/>
      <c r="B357" s="309"/>
      <c r="C357" s="318"/>
      <c r="D357" s="301"/>
      <c r="E357" s="249">
        <f t="shared" si="58"/>
        <v>140</v>
      </c>
      <c r="F357" s="319"/>
      <c r="G357" s="302">
        <f t="shared" si="59"/>
        <v>0</v>
      </c>
      <c r="H357" s="302"/>
      <c r="I357" s="303"/>
      <c r="J357" s="302">
        <f>165-25</f>
        <v>140</v>
      </c>
      <c r="K357" s="302"/>
      <c r="L357" s="320" t="s">
        <v>106</v>
      </c>
      <c r="M357" s="308"/>
    </row>
    <row r="358" spans="1:13" ht="26.25" customHeight="1">
      <c r="A358" s="22"/>
      <c r="B358" s="309"/>
      <c r="C358" s="295"/>
      <c r="D358" s="126">
        <v>2019</v>
      </c>
      <c r="E358" s="305">
        <f>SUM(E359:E360)</f>
        <v>195.01735000000002</v>
      </c>
      <c r="F358" s="305">
        <f>SUM(F359:F360)</f>
        <v>0</v>
      </c>
      <c r="G358" s="305">
        <f>SUM(G359:G360)</f>
        <v>0</v>
      </c>
      <c r="H358" s="305">
        <f>SUM(H359:H360)</f>
        <v>0</v>
      </c>
      <c r="I358" s="305">
        <f>SUM(I359:I360)</f>
        <v>0</v>
      </c>
      <c r="J358" s="305">
        <f>SUM(J359:J360)</f>
        <v>195.01735000000002</v>
      </c>
      <c r="K358" s="306">
        <f>SUM(K359:K360)</f>
        <v>0</v>
      </c>
      <c r="L358" s="321"/>
      <c r="M358" s="176"/>
    </row>
    <row r="359" spans="1:13" ht="33" customHeight="1">
      <c r="A359" s="22"/>
      <c r="B359" s="309"/>
      <c r="C359" s="322" t="s">
        <v>242</v>
      </c>
      <c r="D359" s="311">
        <v>2019</v>
      </c>
      <c r="E359" s="313">
        <f aca="true" t="shared" si="60" ref="E359:E360">F359+G359+J359</f>
        <v>126.36635000000001</v>
      </c>
      <c r="F359" s="313"/>
      <c r="G359" s="313">
        <f aca="true" t="shared" si="61" ref="G359:G360">H359+I359</f>
        <v>0</v>
      </c>
      <c r="H359" s="313"/>
      <c r="I359" s="313"/>
      <c r="J359" s="313">
        <f>400-273.63365</f>
        <v>126.36635000000001</v>
      </c>
      <c r="K359" s="314"/>
      <c r="L359" s="323" t="s">
        <v>242</v>
      </c>
      <c r="M359" s="176"/>
    </row>
    <row r="360" spans="1:13" ht="33" customHeight="1">
      <c r="A360" s="22"/>
      <c r="B360" s="309"/>
      <c r="C360" s="324" t="s">
        <v>27</v>
      </c>
      <c r="D360" s="325">
        <v>2019</v>
      </c>
      <c r="E360" s="302">
        <f t="shared" si="60"/>
        <v>68.651</v>
      </c>
      <c r="F360" s="302"/>
      <c r="G360" s="302">
        <f t="shared" si="61"/>
        <v>0</v>
      </c>
      <c r="H360" s="302"/>
      <c r="I360" s="302"/>
      <c r="J360" s="302">
        <v>68.651</v>
      </c>
      <c r="K360" s="303"/>
      <c r="L360" s="326" t="s">
        <v>27</v>
      </c>
      <c r="M360" s="176"/>
    </row>
    <row r="361" spans="1:13" ht="24.75" customHeight="1">
      <c r="A361" s="22"/>
      <c r="B361" s="309"/>
      <c r="C361" s="251"/>
      <c r="D361" s="327">
        <v>2020</v>
      </c>
      <c r="E361" s="253">
        <f aca="true" t="shared" si="62" ref="E361:E364">F361+G361+J361+K361</f>
        <v>303.52299999999997</v>
      </c>
      <c r="F361" s="253">
        <v>0</v>
      </c>
      <c r="G361" s="253">
        <v>0</v>
      </c>
      <c r="H361" s="253">
        <v>0</v>
      </c>
      <c r="I361" s="253">
        <v>0</v>
      </c>
      <c r="J361" s="253">
        <f>SUM(J362:J364)</f>
        <v>303.52299999999997</v>
      </c>
      <c r="K361" s="254">
        <v>0</v>
      </c>
      <c r="L361" s="328"/>
      <c r="M361" s="176"/>
    </row>
    <row r="362" spans="1:13" ht="24.75" customHeight="1">
      <c r="A362" s="22"/>
      <c r="B362" s="309"/>
      <c r="C362" s="329" t="s">
        <v>179</v>
      </c>
      <c r="D362" s="42"/>
      <c r="E362" s="330">
        <f t="shared" si="62"/>
        <v>0</v>
      </c>
      <c r="F362" s="257"/>
      <c r="G362" s="257">
        <f aca="true" t="shared" si="63" ref="G362:G365">H362+I362</f>
        <v>0</v>
      </c>
      <c r="H362" s="257"/>
      <c r="I362" s="258"/>
      <c r="J362" s="257">
        <f>67.144-67.144</f>
        <v>0</v>
      </c>
      <c r="K362" s="257"/>
      <c r="L362" s="331" t="s">
        <v>171</v>
      </c>
      <c r="M362" s="176"/>
    </row>
    <row r="363" spans="1:13" ht="24.75" customHeight="1">
      <c r="A363" s="22"/>
      <c r="B363" s="309"/>
      <c r="C363" s="329" t="s">
        <v>119</v>
      </c>
      <c r="D363" s="42"/>
      <c r="E363" s="257">
        <f t="shared" si="62"/>
        <v>248.093</v>
      </c>
      <c r="F363" s="257"/>
      <c r="G363" s="257">
        <f t="shared" si="63"/>
        <v>0</v>
      </c>
      <c r="H363" s="257"/>
      <c r="I363" s="258"/>
      <c r="J363" s="257">
        <f>250-1.907</f>
        <v>248.093</v>
      </c>
      <c r="K363" s="257"/>
      <c r="L363" s="332" t="s">
        <v>119</v>
      </c>
      <c r="M363" s="176"/>
    </row>
    <row r="364" spans="1:13" ht="24.75" customHeight="1">
      <c r="A364" s="22"/>
      <c r="B364" s="309"/>
      <c r="C364" s="333" t="s">
        <v>120</v>
      </c>
      <c r="D364" s="301"/>
      <c r="E364" s="264">
        <f t="shared" si="62"/>
        <v>55.43</v>
      </c>
      <c r="F364" s="249"/>
      <c r="G364" s="264">
        <f t="shared" si="63"/>
        <v>0</v>
      </c>
      <c r="H364" s="249"/>
      <c r="I364" s="248"/>
      <c r="J364" s="249">
        <v>55.43</v>
      </c>
      <c r="K364" s="249"/>
      <c r="L364" s="51" t="s">
        <v>120</v>
      </c>
      <c r="M364" s="176"/>
    </row>
    <row r="365" spans="1:13" ht="24.75" customHeight="1">
      <c r="A365" s="22"/>
      <c r="B365" s="309"/>
      <c r="C365" s="334"/>
      <c r="D365" s="327">
        <v>2021</v>
      </c>
      <c r="E365" s="253">
        <f>F365+J365+K365</f>
        <v>469.155</v>
      </c>
      <c r="F365" s="253">
        <v>0</v>
      </c>
      <c r="G365" s="253">
        <f t="shared" si="63"/>
        <v>0</v>
      </c>
      <c r="H365" s="253">
        <v>0</v>
      </c>
      <c r="I365" s="253">
        <v>0</v>
      </c>
      <c r="J365" s="253">
        <f>SUM(J366:J373)</f>
        <v>469.155</v>
      </c>
      <c r="K365" s="253">
        <v>0</v>
      </c>
      <c r="L365" s="335"/>
      <c r="M365" s="176"/>
    </row>
    <row r="366" spans="1:13" ht="49.5" customHeight="1">
      <c r="A366" s="22"/>
      <c r="B366" s="336" t="s">
        <v>243</v>
      </c>
      <c r="C366" s="337" t="s">
        <v>118</v>
      </c>
      <c r="D366" s="187"/>
      <c r="E366" s="338">
        <f aca="true" t="shared" si="64" ref="E366:E374">F366+G366+J366+K366</f>
        <v>101.43</v>
      </c>
      <c r="F366" s="338"/>
      <c r="G366" s="338">
        <v>0</v>
      </c>
      <c r="H366" s="338"/>
      <c r="I366" s="338"/>
      <c r="J366" s="339">
        <f>80+3.43+18</f>
        <v>101.43</v>
      </c>
      <c r="K366" s="338"/>
      <c r="L366" s="218" t="s">
        <v>118</v>
      </c>
      <c r="M366" s="176"/>
    </row>
    <row r="367" spans="1:13" ht="18.75" customHeight="1">
      <c r="A367" s="22"/>
      <c r="B367" s="336" t="s">
        <v>244</v>
      </c>
      <c r="C367" s="337"/>
      <c r="D367" s="187"/>
      <c r="E367" s="338">
        <f t="shared" si="64"/>
        <v>156.54899999999998</v>
      </c>
      <c r="F367" s="338"/>
      <c r="G367" s="338">
        <v>0</v>
      </c>
      <c r="H367" s="338"/>
      <c r="I367" s="340"/>
      <c r="J367" s="341">
        <f>169.081-12.532</f>
        <v>156.54899999999998</v>
      </c>
      <c r="K367" s="342"/>
      <c r="L367" s="218"/>
      <c r="M367" s="176"/>
    </row>
    <row r="368" spans="1:13" ht="18.75" customHeight="1">
      <c r="A368" s="22"/>
      <c r="B368" s="304" t="s">
        <v>245</v>
      </c>
      <c r="C368" s="337"/>
      <c r="D368" s="187"/>
      <c r="E368" s="338">
        <f t="shared" si="64"/>
        <v>52</v>
      </c>
      <c r="F368" s="338"/>
      <c r="G368" s="338">
        <v>0</v>
      </c>
      <c r="H368" s="338"/>
      <c r="I368" s="338"/>
      <c r="J368" s="343">
        <f>70-18</f>
        <v>52</v>
      </c>
      <c r="K368" s="338"/>
      <c r="L368" s="218"/>
      <c r="M368" s="176"/>
    </row>
    <row r="369" spans="1:13" ht="54" customHeight="1">
      <c r="A369" s="22"/>
      <c r="B369" s="344" t="s">
        <v>246</v>
      </c>
      <c r="C369" s="218" t="s">
        <v>179</v>
      </c>
      <c r="D369" s="187"/>
      <c r="E369" s="338">
        <f t="shared" si="64"/>
        <v>57.0724</v>
      </c>
      <c r="F369" s="340"/>
      <c r="G369" s="345"/>
      <c r="H369" s="342"/>
      <c r="I369" s="338"/>
      <c r="J369" s="346">
        <v>57.0724</v>
      </c>
      <c r="K369" s="338"/>
      <c r="L369" s="141" t="s">
        <v>179</v>
      </c>
      <c r="M369" s="176"/>
    </row>
    <row r="370" spans="1:13" ht="34.5" customHeight="1">
      <c r="A370" s="22"/>
      <c r="B370" s="347" t="s">
        <v>247</v>
      </c>
      <c r="C370" s="218"/>
      <c r="D370" s="187"/>
      <c r="E370" s="338">
        <f t="shared" si="64"/>
        <v>50.0676</v>
      </c>
      <c r="F370" s="338"/>
      <c r="G370" s="338"/>
      <c r="H370" s="338"/>
      <c r="I370" s="338"/>
      <c r="J370" s="346">
        <v>50.0676</v>
      </c>
      <c r="K370" s="338"/>
      <c r="L370" s="141"/>
      <c r="M370" s="176"/>
    </row>
    <row r="371" spans="1:13" ht="18.75" customHeight="1">
      <c r="A371" s="22"/>
      <c r="B371" s="304" t="s">
        <v>248</v>
      </c>
      <c r="C371" s="348" t="s">
        <v>106</v>
      </c>
      <c r="D371" s="187"/>
      <c r="E371" s="338">
        <f t="shared" si="64"/>
        <v>52.036</v>
      </c>
      <c r="F371" s="338"/>
      <c r="G371" s="338"/>
      <c r="H371" s="338"/>
      <c r="I371" s="338"/>
      <c r="J371" s="338">
        <v>52.036</v>
      </c>
      <c r="K371" s="338"/>
      <c r="L371" s="349" t="s">
        <v>249</v>
      </c>
      <c r="M371" s="176"/>
    </row>
    <row r="372" spans="1:13" ht="18.75" customHeight="1">
      <c r="A372" s="22"/>
      <c r="B372" s="304"/>
      <c r="C372" s="350"/>
      <c r="D372" s="187"/>
      <c r="E372" s="338">
        <f t="shared" si="64"/>
        <v>0</v>
      </c>
      <c r="F372" s="338"/>
      <c r="G372" s="338"/>
      <c r="H372" s="338"/>
      <c r="I372" s="338"/>
      <c r="J372" s="338">
        <v>0</v>
      </c>
      <c r="K372" s="338"/>
      <c r="L372" s="349"/>
      <c r="M372" s="176"/>
    </row>
    <row r="373" spans="1:13" ht="18.75" customHeight="1">
      <c r="A373" s="22"/>
      <c r="B373" s="304"/>
      <c r="C373" s="350"/>
      <c r="D373" s="187"/>
      <c r="E373" s="338">
        <f t="shared" si="64"/>
        <v>0</v>
      </c>
      <c r="F373" s="338"/>
      <c r="G373" s="338"/>
      <c r="H373" s="338"/>
      <c r="I373" s="338"/>
      <c r="J373" s="338">
        <v>0</v>
      </c>
      <c r="K373" s="338"/>
      <c r="L373" s="349"/>
      <c r="M373" s="176"/>
    </row>
    <row r="374" spans="1:13" ht="18.75" customHeight="1">
      <c r="A374" s="22"/>
      <c r="B374" s="304"/>
      <c r="C374" s="350"/>
      <c r="D374" s="187"/>
      <c r="E374" s="338">
        <f t="shared" si="64"/>
        <v>0</v>
      </c>
      <c r="F374" s="338"/>
      <c r="G374" s="338"/>
      <c r="H374" s="338"/>
      <c r="I374" s="338"/>
      <c r="J374" s="338">
        <v>0</v>
      </c>
      <c r="K374" s="338"/>
      <c r="L374" s="349"/>
      <c r="M374" s="176"/>
    </row>
    <row r="375" spans="1:13" ht="24.75" customHeight="1">
      <c r="A375" s="22"/>
      <c r="B375" s="304"/>
      <c r="C375" s="295"/>
      <c r="D375" s="187">
        <v>2022</v>
      </c>
      <c r="E375" s="338">
        <f>F375+G375+K375</f>
        <v>0</v>
      </c>
      <c r="F375" s="338">
        <v>0</v>
      </c>
      <c r="G375" s="338">
        <f>H375+I375</f>
        <v>0</v>
      </c>
      <c r="H375" s="338">
        <v>0</v>
      </c>
      <c r="I375" s="338">
        <v>0</v>
      </c>
      <c r="J375" s="338">
        <v>0</v>
      </c>
      <c r="K375" s="338">
        <v>0</v>
      </c>
      <c r="L375" s="335"/>
      <c r="M375" s="176"/>
    </row>
    <row r="376" spans="1:13" ht="28.5" customHeight="1">
      <c r="A376" s="77" t="s">
        <v>250</v>
      </c>
      <c r="B376" s="304"/>
      <c r="C376" s="351"/>
      <c r="D376" s="184">
        <v>2019</v>
      </c>
      <c r="E376" s="352">
        <f>E381+E382+E383+E384+E385+E386+E387+E388</f>
        <v>498</v>
      </c>
      <c r="F376" s="352">
        <f aca="true" t="shared" si="65" ref="F376:F377">F381+F382+F383+F384+F385+F386+F387+F388</f>
        <v>0</v>
      </c>
      <c r="G376" s="352">
        <f>G381+G382+G383+G384+G385+G386+G387+G388</f>
        <v>473.00000000000006</v>
      </c>
      <c r="H376" s="352">
        <f aca="true" t="shared" si="66" ref="H376:H377">H381+H382+H383+H384+H385+H386+H387+H388</f>
        <v>0</v>
      </c>
      <c r="I376" s="352">
        <f>I381+I382+I383+I384+I385+I386+I387+I388</f>
        <v>473.00000000000006</v>
      </c>
      <c r="J376" s="352">
        <f>J381+J382+J383+J384+J385+J386+J387+J388</f>
        <v>25</v>
      </c>
      <c r="K376" s="353">
        <f>K381+K382+K383+K384+K385+K386+K387+K388</f>
        <v>0</v>
      </c>
      <c r="L376" s="354"/>
      <c r="M376" s="82"/>
    </row>
    <row r="377" spans="1:13" ht="33" customHeight="1">
      <c r="A377" s="77"/>
      <c r="B377" s="71" t="s">
        <v>251</v>
      </c>
      <c r="C377" s="256"/>
      <c r="D377" s="42">
        <v>2020</v>
      </c>
      <c r="E377" s="352">
        <v>0</v>
      </c>
      <c r="F377" s="352">
        <f t="shared" si="65"/>
        <v>0</v>
      </c>
      <c r="G377" s="352">
        <v>0</v>
      </c>
      <c r="H377" s="352">
        <f t="shared" si="66"/>
        <v>0</v>
      </c>
      <c r="I377" s="352">
        <v>0</v>
      </c>
      <c r="J377" s="352">
        <v>0</v>
      </c>
      <c r="K377" s="258">
        <v>0</v>
      </c>
      <c r="L377" s="315"/>
      <c r="M377" s="82"/>
    </row>
    <row r="378" spans="1:13" ht="31.5" customHeight="1">
      <c r="A378" s="77"/>
      <c r="B378" s="71"/>
      <c r="C378" s="241"/>
      <c r="D378" s="15">
        <v>2021</v>
      </c>
      <c r="E378" s="352">
        <f>E393</f>
        <v>0</v>
      </c>
      <c r="F378" s="352">
        <f>F393</f>
        <v>0</v>
      </c>
      <c r="G378" s="352">
        <f>G393</f>
        <v>0</v>
      </c>
      <c r="H378" s="352">
        <f>H393</f>
        <v>0</v>
      </c>
      <c r="I378" s="352">
        <f>I393</f>
        <v>0</v>
      </c>
      <c r="J378" s="352">
        <f>J393</f>
        <v>0</v>
      </c>
      <c r="K378" s="79">
        <v>0</v>
      </c>
      <c r="L378" s="315"/>
      <c r="M378" s="82"/>
    </row>
    <row r="379" spans="1:13" ht="25.5" customHeight="1">
      <c r="A379" s="77"/>
      <c r="B379" s="71"/>
      <c r="C379" s="241"/>
      <c r="D379" s="15">
        <v>2022</v>
      </c>
      <c r="E379" s="352">
        <v>0</v>
      </c>
      <c r="F379" s="352">
        <v>0</v>
      </c>
      <c r="G379" s="352">
        <v>0</v>
      </c>
      <c r="H379" s="352">
        <v>0</v>
      </c>
      <c r="I379" s="352">
        <v>0</v>
      </c>
      <c r="J379" s="352">
        <v>0</v>
      </c>
      <c r="K379" s="352">
        <v>0</v>
      </c>
      <c r="L379" s="315"/>
      <c r="M379" s="82"/>
    </row>
    <row r="380" spans="1:13" ht="25.5" customHeight="1">
      <c r="A380" s="77"/>
      <c r="B380" s="71"/>
      <c r="C380" s="241"/>
      <c r="D380" s="15">
        <v>2023</v>
      </c>
      <c r="E380" s="352">
        <v>0</v>
      </c>
      <c r="F380" s="352">
        <v>0</v>
      </c>
      <c r="G380" s="352">
        <v>0</v>
      </c>
      <c r="H380" s="352">
        <v>0</v>
      </c>
      <c r="I380" s="352">
        <v>0</v>
      </c>
      <c r="J380" s="352">
        <v>0</v>
      </c>
      <c r="K380" s="79"/>
      <c r="L380" s="315"/>
      <c r="M380" s="82"/>
    </row>
    <row r="381" spans="1:13" ht="43.5" customHeight="1">
      <c r="A381" s="77" t="s">
        <v>252</v>
      </c>
      <c r="B381" s="71"/>
      <c r="C381" s="96" t="s">
        <v>27</v>
      </c>
      <c r="D381" s="30">
        <v>2019</v>
      </c>
      <c r="E381" s="108">
        <f aca="true" t="shared" si="67" ref="E381:E388">F381+G381+J381+K381</f>
        <v>8.6</v>
      </c>
      <c r="F381" s="108"/>
      <c r="G381" s="108">
        <f aca="true" t="shared" si="68" ref="G381:G388">H381+I381</f>
        <v>0</v>
      </c>
      <c r="H381" s="108"/>
      <c r="I381" s="108">
        <v>0</v>
      </c>
      <c r="J381" s="108">
        <v>8.6</v>
      </c>
      <c r="K381" s="108">
        <v>0</v>
      </c>
      <c r="L381" s="317" t="s">
        <v>179</v>
      </c>
      <c r="M381" s="82"/>
    </row>
    <row r="382" spans="1:13" ht="42.75" customHeight="1">
      <c r="A382" s="77"/>
      <c r="B382" s="355" t="s">
        <v>253</v>
      </c>
      <c r="C382" s="96" t="s">
        <v>24</v>
      </c>
      <c r="D382" s="30">
        <v>2019</v>
      </c>
      <c r="E382" s="108">
        <f t="shared" si="67"/>
        <v>15.4</v>
      </c>
      <c r="F382" s="108"/>
      <c r="G382" s="108">
        <f t="shared" si="68"/>
        <v>15.4</v>
      </c>
      <c r="H382" s="108"/>
      <c r="I382" s="108">
        <v>15.4</v>
      </c>
      <c r="J382" s="108">
        <v>0</v>
      </c>
      <c r="K382" s="108">
        <v>0</v>
      </c>
      <c r="L382" s="317" t="s">
        <v>124</v>
      </c>
      <c r="M382" s="82"/>
    </row>
    <row r="383" spans="1:13" ht="66" customHeight="1">
      <c r="A383" s="77" t="s">
        <v>254</v>
      </c>
      <c r="B383" s="356" t="s">
        <v>255</v>
      </c>
      <c r="C383" s="96" t="s">
        <v>27</v>
      </c>
      <c r="D383" s="30">
        <v>2019</v>
      </c>
      <c r="E383" s="108">
        <f t="shared" si="67"/>
        <v>137.612</v>
      </c>
      <c r="F383" s="108"/>
      <c r="G383" s="108">
        <f t="shared" si="68"/>
        <v>137.612</v>
      </c>
      <c r="H383" s="108"/>
      <c r="I383" s="108">
        <v>137.612</v>
      </c>
      <c r="J383" s="108">
        <v>0</v>
      </c>
      <c r="K383" s="108">
        <v>0</v>
      </c>
      <c r="L383" s="317" t="s">
        <v>179</v>
      </c>
      <c r="M383" s="82" t="s">
        <v>256</v>
      </c>
    </row>
    <row r="384" spans="1:13" ht="51" customHeight="1">
      <c r="A384" s="77" t="s">
        <v>257</v>
      </c>
      <c r="B384" s="357" t="s">
        <v>258</v>
      </c>
      <c r="C384" s="96" t="s">
        <v>27</v>
      </c>
      <c r="D384" s="30">
        <v>2019</v>
      </c>
      <c r="E384" s="108">
        <f t="shared" si="67"/>
        <v>131.693</v>
      </c>
      <c r="F384" s="108"/>
      <c r="G384" s="108">
        <f t="shared" si="68"/>
        <v>131.693</v>
      </c>
      <c r="H384" s="108"/>
      <c r="I384" s="108">
        <f>120.581+11.112</f>
        <v>131.693</v>
      </c>
      <c r="J384" s="108">
        <v>0</v>
      </c>
      <c r="K384" s="108">
        <v>0</v>
      </c>
      <c r="L384" s="317" t="s">
        <v>179</v>
      </c>
      <c r="M384" s="82" t="s">
        <v>259</v>
      </c>
    </row>
    <row r="385" spans="1:13" ht="81.75" customHeight="1">
      <c r="A385" s="77" t="s">
        <v>260</v>
      </c>
      <c r="B385" s="357" t="s">
        <v>261</v>
      </c>
      <c r="C385" s="96" t="s">
        <v>27</v>
      </c>
      <c r="D385" s="30">
        <v>2019</v>
      </c>
      <c r="E385" s="108">
        <f t="shared" si="67"/>
        <v>44.018</v>
      </c>
      <c r="F385" s="108"/>
      <c r="G385" s="108">
        <f t="shared" si="68"/>
        <v>36.039</v>
      </c>
      <c r="H385" s="108"/>
      <c r="I385" s="108">
        <f>44.018-7.979</f>
        <v>36.039</v>
      </c>
      <c r="J385" s="108">
        <f>16.579-8.6</f>
        <v>7.979000000000001</v>
      </c>
      <c r="K385" s="108">
        <v>0</v>
      </c>
      <c r="L385" s="317" t="s">
        <v>179</v>
      </c>
      <c r="M385" s="82"/>
    </row>
    <row r="386" spans="1:13" ht="77.25" customHeight="1">
      <c r="A386" s="77"/>
      <c r="B386" s="357" t="s">
        <v>262</v>
      </c>
      <c r="C386" s="96" t="s">
        <v>27</v>
      </c>
      <c r="D386" s="30">
        <v>2019</v>
      </c>
      <c r="E386" s="108">
        <f t="shared" si="67"/>
        <v>7.656000000000001</v>
      </c>
      <c r="F386" s="108"/>
      <c r="G386" s="108">
        <f t="shared" si="68"/>
        <v>7.656000000000001</v>
      </c>
      <c r="H386" s="108"/>
      <c r="I386" s="108">
        <f>18.768-11.112</f>
        <v>7.656000000000001</v>
      </c>
      <c r="J386" s="108"/>
      <c r="K386" s="108"/>
      <c r="L386" s="317" t="s">
        <v>263</v>
      </c>
      <c r="M386" s="82"/>
    </row>
    <row r="387" spans="1:13" ht="57" customHeight="1">
      <c r="A387" s="77"/>
      <c r="B387" s="243" t="s">
        <v>264</v>
      </c>
      <c r="C387" s="96" t="s">
        <v>24</v>
      </c>
      <c r="D387" s="30">
        <v>2019</v>
      </c>
      <c r="E387" s="108">
        <f t="shared" si="67"/>
        <v>10.74</v>
      </c>
      <c r="F387" s="108"/>
      <c r="G387" s="108">
        <f t="shared" si="68"/>
        <v>10.74</v>
      </c>
      <c r="H387" s="108"/>
      <c r="I387" s="108">
        <v>10.74</v>
      </c>
      <c r="J387" s="108">
        <v>0</v>
      </c>
      <c r="K387" s="108">
        <v>0</v>
      </c>
      <c r="L387" s="317" t="s">
        <v>124</v>
      </c>
      <c r="M387" s="82" t="s">
        <v>265</v>
      </c>
    </row>
    <row r="388" spans="1:13" ht="75.75" customHeight="1">
      <c r="A388" s="77" t="s">
        <v>266</v>
      </c>
      <c r="B388" s="243" t="s">
        <v>267</v>
      </c>
      <c r="C388" s="96" t="s">
        <v>24</v>
      </c>
      <c r="D388" s="30">
        <v>2019</v>
      </c>
      <c r="E388" s="108">
        <f t="shared" si="67"/>
        <v>142.281</v>
      </c>
      <c r="F388" s="108"/>
      <c r="G388" s="108">
        <f t="shared" si="68"/>
        <v>133.86</v>
      </c>
      <c r="H388" s="108"/>
      <c r="I388" s="108">
        <v>133.86</v>
      </c>
      <c r="J388" s="108">
        <v>8.421</v>
      </c>
      <c r="K388" s="108">
        <v>0</v>
      </c>
      <c r="L388" s="317" t="s">
        <v>124</v>
      </c>
      <c r="M388" s="82" t="s">
        <v>268</v>
      </c>
    </row>
    <row r="389" spans="1:13" s="199" customFormat="1" ht="62.25" customHeight="1">
      <c r="A389" s="92" t="s">
        <v>269</v>
      </c>
      <c r="B389" s="243" t="s">
        <v>270</v>
      </c>
      <c r="C389" s="358"/>
      <c r="D389" s="13">
        <v>2019</v>
      </c>
      <c r="E389" s="79">
        <f>E390+E391</f>
        <v>1013.9999999999999</v>
      </c>
      <c r="F389" s="79">
        <f>F390+F391</f>
        <v>0</v>
      </c>
      <c r="G389" s="79">
        <f>G390+G391</f>
        <v>963</v>
      </c>
      <c r="H389" s="79">
        <f>H390+H391</f>
        <v>0</v>
      </c>
      <c r="I389" s="79">
        <f>I390+I391</f>
        <v>963</v>
      </c>
      <c r="J389" s="79">
        <f>J390+J391</f>
        <v>51</v>
      </c>
      <c r="K389" s="79">
        <f>K390+K391</f>
        <v>0</v>
      </c>
      <c r="L389" s="315"/>
      <c r="M389" s="359"/>
    </row>
    <row r="390" spans="1:13" ht="54" customHeight="1">
      <c r="A390" s="77" t="s">
        <v>271</v>
      </c>
      <c r="B390" s="38" t="s">
        <v>272</v>
      </c>
      <c r="C390" s="96"/>
      <c r="D390" s="220">
        <v>2019</v>
      </c>
      <c r="E390" s="33">
        <f aca="true" t="shared" si="69" ref="E390:E391">F390+G390+J390+K390</f>
        <v>800.0321799999999</v>
      </c>
      <c r="F390" s="360"/>
      <c r="G390" s="33">
        <f aca="true" t="shared" si="70" ref="G390:G391">H390+I390</f>
        <v>760.03</v>
      </c>
      <c r="H390" s="361"/>
      <c r="I390" s="362">
        <f>765.502-5.472</f>
        <v>760.03</v>
      </c>
      <c r="J390" s="363">
        <f>40.2898-0.28762</f>
        <v>40.00218</v>
      </c>
      <c r="K390" s="360"/>
      <c r="L390" s="364" t="s">
        <v>177</v>
      </c>
      <c r="M390" s="365" t="s">
        <v>273</v>
      </c>
    </row>
    <row r="391" spans="1:13" ht="54.75" customHeight="1">
      <c r="A391" s="366" t="s">
        <v>274</v>
      </c>
      <c r="B391" s="96" t="s">
        <v>272</v>
      </c>
      <c r="C391" s="367"/>
      <c r="D391" s="220">
        <v>2019</v>
      </c>
      <c r="E391" s="47">
        <f t="shared" si="69"/>
        <v>213.96782</v>
      </c>
      <c r="F391" s="368"/>
      <c r="G391" s="47">
        <f t="shared" si="70"/>
        <v>202.97</v>
      </c>
      <c r="H391" s="369"/>
      <c r="I391" s="370">
        <f>197.498+5.472</f>
        <v>202.97</v>
      </c>
      <c r="J391" s="371">
        <f>10.7102+0.28762</f>
        <v>10.99782</v>
      </c>
      <c r="K391" s="368"/>
      <c r="L391" s="372" t="s">
        <v>275</v>
      </c>
      <c r="M391" s="365"/>
    </row>
    <row r="392" spans="1:13" ht="44.25" customHeight="1">
      <c r="A392" s="366" t="s">
        <v>276</v>
      </c>
      <c r="B392" s="309" t="s">
        <v>272</v>
      </c>
      <c r="C392" s="373"/>
      <c r="D392" s="222">
        <v>2020</v>
      </c>
      <c r="E392" s="374">
        <f>E395+E396+E397+++++E399+E405+E406+E407+E408</f>
        <v>0</v>
      </c>
      <c r="F392" s="374">
        <f>F395+F396+F397+++++F399+F405+F406+F407+F408</f>
        <v>0</v>
      </c>
      <c r="G392" s="374">
        <f>G395+G396+G397+++++G399+G405+G406+G407+G408</f>
        <v>0</v>
      </c>
      <c r="H392" s="374">
        <f>H395+H396+H397+++++H399+H405+H406+H407+H408</f>
        <v>0</v>
      </c>
      <c r="I392" s="374">
        <f>I395+I396+I397+++++I399+I405+I406+I407+I408</f>
        <v>0</v>
      </c>
      <c r="J392" s="374">
        <f>J395+J396+J397+++++J399+J405+J406+J407+J408</f>
        <v>0</v>
      </c>
      <c r="K392" s="374">
        <f>K395+K396+K397+++++K399+K405+K406+K407+K408</f>
        <v>0</v>
      </c>
      <c r="L392" s="372"/>
      <c r="M392" s="365"/>
    </row>
    <row r="393" spans="1:13" ht="39" customHeight="1">
      <c r="A393" s="366"/>
      <c r="B393" s="375" t="s">
        <v>277</v>
      </c>
      <c r="C393" s="373"/>
      <c r="D393" s="222">
        <v>2021</v>
      </c>
      <c r="E393" s="374">
        <f>E398+E400+E401+E402+E403+E404</f>
        <v>0</v>
      </c>
      <c r="F393" s="374">
        <f>F398+F400+F401+F402+F403+F404</f>
        <v>0</v>
      </c>
      <c r="G393" s="374">
        <f>G398+G400+G401+G402+G403+G404</f>
        <v>0</v>
      </c>
      <c r="H393" s="374">
        <f>H398+H400+H401+H402+H403+H404</f>
        <v>0</v>
      </c>
      <c r="I393" s="374">
        <f>I398+I400+I401+I402+I403+I404</f>
        <v>0</v>
      </c>
      <c r="J393" s="374">
        <f>J398+J400+J401+J402+J403+J404</f>
        <v>0</v>
      </c>
      <c r="K393" s="374">
        <f>K398+K400+K401+K402+K403+K404</f>
        <v>0</v>
      </c>
      <c r="L393" s="372"/>
      <c r="M393" s="365"/>
    </row>
    <row r="394" spans="1:13" ht="34.5" customHeight="1">
      <c r="A394" s="366"/>
      <c r="B394" s="375"/>
      <c r="C394" s="375"/>
      <c r="D394" s="222">
        <v>2022</v>
      </c>
      <c r="E394" s="374">
        <v>0</v>
      </c>
      <c r="F394" s="374">
        <v>0</v>
      </c>
      <c r="G394" s="374">
        <v>0</v>
      </c>
      <c r="H394" s="374">
        <v>0</v>
      </c>
      <c r="I394" s="374">
        <v>0</v>
      </c>
      <c r="J394" s="374">
        <v>0</v>
      </c>
      <c r="K394" s="374">
        <v>0</v>
      </c>
      <c r="L394" s="372"/>
      <c r="M394" s="365"/>
    </row>
    <row r="395" spans="1:13" ht="24.75" customHeight="1">
      <c r="A395" s="376" t="s">
        <v>278</v>
      </c>
      <c r="B395" s="377" t="s">
        <v>279</v>
      </c>
      <c r="C395" s="378" t="s">
        <v>280</v>
      </c>
      <c r="D395" s="29">
        <v>2020</v>
      </c>
      <c r="E395" s="330"/>
      <c r="F395" s="330"/>
      <c r="G395" s="330"/>
      <c r="H395" s="330"/>
      <c r="I395" s="330"/>
      <c r="J395" s="330">
        <v>0</v>
      </c>
      <c r="K395" s="330"/>
      <c r="L395" s="379" t="s">
        <v>280</v>
      </c>
      <c r="M395" s="380"/>
    </row>
    <row r="396" spans="1:13" ht="24.75" customHeight="1">
      <c r="A396" s="376"/>
      <c r="B396" s="377"/>
      <c r="C396" s="381" t="s">
        <v>281</v>
      </c>
      <c r="D396" s="34">
        <v>2020</v>
      </c>
      <c r="E396" s="108"/>
      <c r="F396" s="108"/>
      <c r="G396" s="108"/>
      <c r="H396" s="108"/>
      <c r="I396" s="108"/>
      <c r="J396" s="108">
        <v>0</v>
      </c>
      <c r="K396" s="108"/>
      <c r="L396" s="317" t="s">
        <v>281</v>
      </c>
      <c r="M396" s="82"/>
    </row>
    <row r="397" spans="1:13" ht="24.75" customHeight="1">
      <c r="A397" s="376"/>
      <c r="B397" s="377"/>
      <c r="C397" s="381" t="s">
        <v>154</v>
      </c>
      <c r="D397" s="34">
        <v>2020</v>
      </c>
      <c r="E397" s="108"/>
      <c r="F397" s="108"/>
      <c r="G397" s="108"/>
      <c r="H397" s="108"/>
      <c r="I397" s="108"/>
      <c r="J397" s="108">
        <v>0</v>
      </c>
      <c r="K397" s="108"/>
      <c r="L397" s="317" t="s">
        <v>154</v>
      </c>
      <c r="M397" s="82"/>
    </row>
    <row r="398" spans="1:13" ht="24.75" customHeight="1">
      <c r="A398" s="376"/>
      <c r="B398" s="377"/>
      <c r="C398" s="382" t="s">
        <v>152</v>
      </c>
      <c r="D398" s="383">
        <v>2021</v>
      </c>
      <c r="E398" s="384"/>
      <c r="F398" s="384"/>
      <c r="G398" s="384"/>
      <c r="H398" s="384"/>
      <c r="I398" s="384"/>
      <c r="J398" s="384"/>
      <c r="K398" s="384"/>
      <c r="L398" s="385" t="s">
        <v>152</v>
      </c>
      <c r="M398" s="203"/>
    </row>
    <row r="399" spans="1:13" ht="24.75" customHeight="1">
      <c r="A399" s="386" t="s">
        <v>282</v>
      </c>
      <c r="B399" s="337" t="s">
        <v>283</v>
      </c>
      <c r="C399" s="378" t="s">
        <v>154</v>
      </c>
      <c r="D399" s="29">
        <v>2020</v>
      </c>
      <c r="E399" s="330"/>
      <c r="F399" s="330"/>
      <c r="G399" s="330"/>
      <c r="H399" s="330"/>
      <c r="I399" s="330"/>
      <c r="J399" s="330">
        <v>0</v>
      </c>
      <c r="K399" s="330"/>
      <c r="L399" s="379" t="s">
        <v>154</v>
      </c>
      <c r="M399" s="380"/>
    </row>
    <row r="400" spans="1:13" ht="24.75" customHeight="1">
      <c r="A400" s="386"/>
      <c r="B400" s="337"/>
      <c r="C400" s="381" t="s">
        <v>156</v>
      </c>
      <c r="D400" s="34">
        <v>2021</v>
      </c>
      <c r="E400" s="108"/>
      <c r="F400" s="108"/>
      <c r="G400" s="108"/>
      <c r="H400" s="108"/>
      <c r="I400" s="108"/>
      <c r="J400" s="108">
        <v>0</v>
      </c>
      <c r="K400" s="108"/>
      <c r="L400" s="317" t="s">
        <v>156</v>
      </c>
      <c r="M400" s="82"/>
    </row>
    <row r="401" spans="1:13" ht="24.75" customHeight="1">
      <c r="A401" s="386"/>
      <c r="B401" s="337"/>
      <c r="C401" s="381" t="s">
        <v>106</v>
      </c>
      <c r="D401" s="34">
        <v>2021</v>
      </c>
      <c r="E401" s="108"/>
      <c r="F401" s="108"/>
      <c r="G401" s="108"/>
      <c r="H401" s="108"/>
      <c r="I401" s="108"/>
      <c r="J401" s="108">
        <v>0</v>
      </c>
      <c r="K401" s="108"/>
      <c r="L401" s="317" t="s">
        <v>284</v>
      </c>
      <c r="M401" s="82"/>
    </row>
    <row r="402" spans="1:13" ht="24.75" customHeight="1">
      <c r="A402" s="386"/>
      <c r="B402" s="337"/>
      <c r="C402" s="381" t="s">
        <v>145</v>
      </c>
      <c r="D402" s="34">
        <v>2021</v>
      </c>
      <c r="E402" s="108"/>
      <c r="F402" s="108"/>
      <c r="G402" s="108"/>
      <c r="H402" s="108"/>
      <c r="I402" s="108"/>
      <c r="J402" s="108">
        <v>0</v>
      </c>
      <c r="K402" s="108"/>
      <c r="L402" s="317" t="s">
        <v>145</v>
      </c>
      <c r="M402" s="82"/>
    </row>
    <row r="403" spans="1:13" ht="24.75" customHeight="1">
      <c r="A403" s="386"/>
      <c r="B403" s="337"/>
      <c r="C403" s="381" t="s">
        <v>149</v>
      </c>
      <c r="D403" s="34">
        <v>2021</v>
      </c>
      <c r="E403" s="108"/>
      <c r="F403" s="108"/>
      <c r="G403" s="108"/>
      <c r="H403" s="108"/>
      <c r="I403" s="108"/>
      <c r="J403" s="108">
        <v>0</v>
      </c>
      <c r="K403" s="108"/>
      <c r="L403" s="317" t="s">
        <v>149</v>
      </c>
      <c r="M403" s="82"/>
    </row>
    <row r="404" spans="1:13" ht="24.75" customHeight="1">
      <c r="A404" s="386"/>
      <c r="B404" s="337"/>
      <c r="C404" s="382" t="s">
        <v>152</v>
      </c>
      <c r="D404" s="383">
        <v>2021</v>
      </c>
      <c r="E404" s="384"/>
      <c r="F404" s="384"/>
      <c r="G404" s="384"/>
      <c r="H404" s="384"/>
      <c r="I404" s="384"/>
      <c r="J404" s="384"/>
      <c r="K404" s="384"/>
      <c r="L404" s="385" t="s">
        <v>152</v>
      </c>
      <c r="M404" s="203"/>
    </row>
    <row r="405" spans="1:13" ht="39.75" customHeight="1">
      <c r="A405" s="387" t="s">
        <v>285</v>
      </c>
      <c r="B405" s="388" t="s">
        <v>286</v>
      </c>
      <c r="C405" s="389" t="s">
        <v>149</v>
      </c>
      <c r="D405" s="36">
        <v>2020</v>
      </c>
      <c r="E405" s="257"/>
      <c r="F405" s="257"/>
      <c r="G405" s="257"/>
      <c r="H405" s="257"/>
      <c r="I405" s="257"/>
      <c r="J405" s="257">
        <v>0</v>
      </c>
      <c r="K405" s="257"/>
      <c r="L405" s="390" t="s">
        <v>149</v>
      </c>
      <c r="M405" s="391"/>
    </row>
    <row r="406" spans="1:13" ht="36" customHeight="1">
      <c r="A406" s="366" t="s">
        <v>287</v>
      </c>
      <c r="B406" s="392" t="s">
        <v>288</v>
      </c>
      <c r="C406" s="381" t="s">
        <v>149</v>
      </c>
      <c r="D406" s="34">
        <v>2020</v>
      </c>
      <c r="E406" s="108"/>
      <c r="F406" s="108"/>
      <c r="G406" s="108"/>
      <c r="H406" s="108"/>
      <c r="I406" s="108"/>
      <c r="J406" s="108">
        <v>0</v>
      </c>
      <c r="K406" s="108"/>
      <c r="L406" s="317" t="s">
        <v>149</v>
      </c>
      <c r="M406" s="82"/>
    </row>
    <row r="407" spans="1:13" ht="37.5" customHeight="1">
      <c r="A407" s="393" t="s">
        <v>289</v>
      </c>
      <c r="B407" s="394" t="s">
        <v>290</v>
      </c>
      <c r="C407" s="381" t="s">
        <v>152</v>
      </c>
      <c r="D407" s="34">
        <v>2020</v>
      </c>
      <c r="E407" s="108"/>
      <c r="F407" s="108"/>
      <c r="G407" s="108"/>
      <c r="H407" s="108"/>
      <c r="I407" s="108"/>
      <c r="J407" s="108">
        <v>0</v>
      </c>
      <c r="K407" s="108"/>
      <c r="L407" s="317" t="s">
        <v>152</v>
      </c>
      <c r="M407" s="82"/>
    </row>
    <row r="408" spans="1:13" ht="41.25" customHeight="1">
      <c r="A408" s="393" t="s">
        <v>291</v>
      </c>
      <c r="B408" s="395" t="s">
        <v>292</v>
      </c>
      <c r="C408" s="382" t="s">
        <v>152</v>
      </c>
      <c r="D408" s="396">
        <v>2020</v>
      </c>
      <c r="E408" s="249"/>
      <c r="F408" s="249"/>
      <c r="G408" s="249"/>
      <c r="H408" s="249"/>
      <c r="I408" s="249"/>
      <c r="J408" s="249">
        <v>0</v>
      </c>
      <c r="K408" s="249"/>
      <c r="L408" s="320" t="s">
        <v>152</v>
      </c>
      <c r="M408" s="104"/>
    </row>
    <row r="409" spans="1:13" s="199" customFormat="1" ht="41.25" customHeight="1">
      <c r="A409" s="397" t="s">
        <v>293</v>
      </c>
      <c r="B409" s="398" t="s">
        <v>294</v>
      </c>
      <c r="C409" s="398"/>
      <c r="D409" s="399">
        <v>2020</v>
      </c>
      <c r="E409" s="253">
        <f aca="true" t="shared" si="71" ref="E409:E412">F409+G409+J409+K409</f>
        <v>1762</v>
      </c>
      <c r="F409" s="253"/>
      <c r="G409" s="253">
        <f aca="true" t="shared" si="72" ref="G409:G412">H409+I409</f>
        <v>1533</v>
      </c>
      <c r="H409" s="253"/>
      <c r="I409" s="253">
        <f>I410+I411+I412</f>
        <v>1533</v>
      </c>
      <c r="J409" s="253">
        <f>J410+J411+J412</f>
        <v>229</v>
      </c>
      <c r="K409" s="253">
        <f>K410+K411+K412</f>
        <v>0</v>
      </c>
      <c r="L409" s="400"/>
      <c r="M409" s="401"/>
    </row>
    <row r="410" spans="1:13" ht="77.25" customHeight="1">
      <c r="A410" s="397"/>
      <c r="B410" s="402" t="s">
        <v>295</v>
      </c>
      <c r="C410" s="403"/>
      <c r="D410" s="36">
        <v>2020</v>
      </c>
      <c r="E410" s="257">
        <f t="shared" si="71"/>
        <v>300</v>
      </c>
      <c r="F410" s="257"/>
      <c r="G410" s="257">
        <f t="shared" si="72"/>
        <v>261</v>
      </c>
      <c r="H410" s="257"/>
      <c r="I410" s="257">
        <v>261</v>
      </c>
      <c r="J410" s="257">
        <v>39</v>
      </c>
      <c r="K410" s="257">
        <v>0</v>
      </c>
      <c r="L410" s="390" t="s">
        <v>296</v>
      </c>
      <c r="M410" s="404"/>
    </row>
    <row r="411" spans="1:13" ht="42.75" customHeight="1">
      <c r="A411" s="397"/>
      <c r="B411" s="398" t="s">
        <v>297</v>
      </c>
      <c r="C411" s="405"/>
      <c r="D411" s="34">
        <v>2020</v>
      </c>
      <c r="E411" s="108">
        <f t="shared" si="71"/>
        <v>657.4</v>
      </c>
      <c r="F411" s="108"/>
      <c r="G411" s="108">
        <f t="shared" si="72"/>
        <v>572</v>
      </c>
      <c r="H411" s="108"/>
      <c r="I411" s="108">
        <v>572</v>
      </c>
      <c r="J411" s="108">
        <v>85.4</v>
      </c>
      <c r="K411" s="108">
        <v>0</v>
      </c>
      <c r="L411" s="317" t="s">
        <v>179</v>
      </c>
      <c r="M411" s="104"/>
    </row>
    <row r="412" spans="1:13" ht="42.75" customHeight="1">
      <c r="A412" s="397"/>
      <c r="B412" s="398"/>
      <c r="C412" s="405"/>
      <c r="D412" s="34">
        <v>2020</v>
      </c>
      <c r="E412" s="108">
        <f t="shared" si="71"/>
        <v>804.6</v>
      </c>
      <c r="F412" s="108"/>
      <c r="G412" s="108">
        <f t="shared" si="72"/>
        <v>700</v>
      </c>
      <c r="H412" s="108"/>
      <c r="I412" s="108">
        <v>700</v>
      </c>
      <c r="J412" s="108">
        <v>104.6</v>
      </c>
      <c r="K412" s="108">
        <v>0</v>
      </c>
      <c r="L412" s="317" t="s">
        <v>124</v>
      </c>
      <c r="M412" s="104"/>
    </row>
    <row r="413" spans="1:18" s="199" customFormat="1" ht="40.5" customHeight="1">
      <c r="A413" s="406"/>
      <c r="B413" s="407" t="s">
        <v>294</v>
      </c>
      <c r="C413" s="408"/>
      <c r="D413" s="282">
        <v>2021</v>
      </c>
      <c r="E413" s="248">
        <f>E414+E415+E416</f>
        <v>1790.993</v>
      </c>
      <c r="F413" s="248">
        <f>F414+F415+F416</f>
        <v>0</v>
      </c>
      <c r="G413" s="248">
        <f>G414+G415+G416</f>
        <v>0</v>
      </c>
      <c r="H413" s="248">
        <f>H414+H415+H416</f>
        <v>0</v>
      </c>
      <c r="I413" s="248">
        <f>I414+I415+I416</f>
        <v>0</v>
      </c>
      <c r="J413" s="248">
        <f>J414+J415+J416</f>
        <v>1790.993</v>
      </c>
      <c r="K413" s="248">
        <f>K414+K415+K416</f>
        <v>0</v>
      </c>
      <c r="L413" s="375"/>
      <c r="M413" s="409"/>
      <c r="R413" s="240"/>
    </row>
    <row r="414" spans="1:18" s="199" customFormat="1" ht="60.75" customHeight="1">
      <c r="A414" s="410"/>
      <c r="B414" s="411" t="s">
        <v>295</v>
      </c>
      <c r="C414" s="412"/>
      <c r="D414" s="13"/>
      <c r="E414" s="108">
        <f>J414</f>
        <v>98.133</v>
      </c>
      <c r="F414" s="32"/>
      <c r="G414" s="108">
        <f aca="true" t="shared" si="73" ref="G414:G423">I414</f>
        <v>0</v>
      </c>
      <c r="H414" s="108"/>
      <c r="I414" s="108">
        <v>0</v>
      </c>
      <c r="J414" s="108">
        <f>12.532+85.601</f>
        <v>98.133</v>
      </c>
      <c r="K414" s="108">
        <v>0</v>
      </c>
      <c r="L414" s="317" t="s">
        <v>296</v>
      </c>
      <c r="M414" s="413"/>
      <c r="R414" s="240"/>
    </row>
    <row r="415" spans="1:18" s="199" customFormat="1" ht="39.75" customHeight="1">
      <c r="A415" s="410"/>
      <c r="B415" s="411"/>
      <c r="C415" s="414" t="s">
        <v>179</v>
      </c>
      <c r="D415" s="415"/>
      <c r="E415" s="108">
        <f>G415</f>
        <v>0</v>
      </c>
      <c r="F415" s="32"/>
      <c r="G415" s="108">
        <f t="shared" si="73"/>
        <v>0</v>
      </c>
      <c r="H415" s="108"/>
      <c r="I415" s="108">
        <v>0</v>
      </c>
      <c r="J415" s="108">
        <v>0</v>
      </c>
      <c r="K415" s="108">
        <v>0</v>
      </c>
      <c r="L415" s="390" t="s">
        <v>179</v>
      </c>
      <c r="M415" s="413"/>
      <c r="R415" s="240"/>
    </row>
    <row r="416" spans="1:18" s="199" customFormat="1" ht="48" customHeight="1">
      <c r="A416" s="410"/>
      <c r="B416" s="411"/>
      <c r="C416" s="321" t="s">
        <v>124</v>
      </c>
      <c r="D416" s="282"/>
      <c r="E416" s="108">
        <f aca="true" t="shared" si="74" ref="E416:E425">F416+G416+J416+K416</f>
        <v>1692.86</v>
      </c>
      <c r="F416" s="46"/>
      <c r="G416" s="108">
        <f t="shared" si="73"/>
        <v>0</v>
      </c>
      <c r="H416" s="108"/>
      <c r="I416" s="108">
        <v>0</v>
      </c>
      <c r="J416" s="108">
        <v>1692.86</v>
      </c>
      <c r="K416" s="108">
        <v>0</v>
      </c>
      <c r="L416" s="317" t="s">
        <v>124</v>
      </c>
      <c r="M416" s="413"/>
      <c r="R416" s="240"/>
    </row>
    <row r="417" spans="1:18" s="199" customFormat="1" ht="82.5" customHeight="1">
      <c r="A417" s="410"/>
      <c r="B417" s="411"/>
      <c r="C417" s="414" t="s">
        <v>124</v>
      </c>
      <c r="D417" s="13">
        <v>2022</v>
      </c>
      <c r="E417" s="108">
        <f t="shared" si="74"/>
        <v>1242.5</v>
      </c>
      <c r="F417" s="46"/>
      <c r="G417" s="108">
        <f t="shared" si="73"/>
        <v>1081</v>
      </c>
      <c r="H417" s="108"/>
      <c r="I417" s="108">
        <v>1081</v>
      </c>
      <c r="J417" s="108">
        <v>161.5</v>
      </c>
      <c r="K417" s="108">
        <v>0</v>
      </c>
      <c r="L417" s="317"/>
      <c r="M417" s="413"/>
      <c r="R417" s="240"/>
    </row>
    <row r="418" spans="1:18" s="199" customFormat="1" ht="82.5" customHeight="1">
      <c r="A418" s="410"/>
      <c r="B418" s="411"/>
      <c r="C418" s="382" t="s">
        <v>152</v>
      </c>
      <c r="D418" s="13">
        <v>2022</v>
      </c>
      <c r="E418" s="108">
        <f t="shared" si="74"/>
        <v>648.3</v>
      </c>
      <c r="F418" s="46"/>
      <c r="G418" s="108">
        <f t="shared" si="73"/>
        <v>564</v>
      </c>
      <c r="H418" s="108"/>
      <c r="I418" s="108">
        <v>564</v>
      </c>
      <c r="J418" s="108">
        <v>84.3</v>
      </c>
      <c r="K418" s="108">
        <v>0</v>
      </c>
      <c r="L418" s="390" t="s">
        <v>296</v>
      </c>
      <c r="M418" s="413"/>
      <c r="R418" s="240"/>
    </row>
    <row r="419" spans="1:18" s="199" customFormat="1" ht="82.5" customHeight="1">
      <c r="A419" s="410"/>
      <c r="B419" s="411"/>
      <c r="C419" s="321" t="s">
        <v>124</v>
      </c>
      <c r="D419" s="13">
        <v>2023</v>
      </c>
      <c r="E419" s="108">
        <f t="shared" si="74"/>
        <v>1242.5</v>
      </c>
      <c r="F419" s="46"/>
      <c r="G419" s="108">
        <f t="shared" si="73"/>
        <v>1081</v>
      </c>
      <c r="H419" s="108"/>
      <c r="I419" s="108">
        <v>1081</v>
      </c>
      <c r="J419" s="108">
        <v>161.5</v>
      </c>
      <c r="K419" s="108">
        <v>0</v>
      </c>
      <c r="L419" s="317"/>
      <c r="M419" s="413"/>
      <c r="R419" s="240"/>
    </row>
    <row r="420" spans="1:18" s="199" customFormat="1" ht="82.5" customHeight="1">
      <c r="A420" s="416"/>
      <c r="B420" s="417"/>
      <c r="C420" s="382" t="s">
        <v>152</v>
      </c>
      <c r="D420" s="13">
        <v>2023</v>
      </c>
      <c r="E420" s="108">
        <f t="shared" si="74"/>
        <v>651.7</v>
      </c>
      <c r="F420" s="46"/>
      <c r="G420" s="108">
        <f t="shared" si="73"/>
        <v>567</v>
      </c>
      <c r="H420" s="108"/>
      <c r="I420" s="108">
        <v>567</v>
      </c>
      <c r="J420" s="108">
        <v>84.7</v>
      </c>
      <c r="K420" s="108">
        <v>0</v>
      </c>
      <c r="L420" s="390" t="s">
        <v>296</v>
      </c>
      <c r="M420" s="413"/>
      <c r="R420" s="240"/>
    </row>
    <row r="421" spans="1:18" s="199" customFormat="1" ht="43.5" customHeight="1">
      <c r="A421" s="418"/>
      <c r="B421" s="419" t="s">
        <v>297</v>
      </c>
      <c r="C421" s="414" t="s">
        <v>179</v>
      </c>
      <c r="D421" s="415">
        <v>2024</v>
      </c>
      <c r="E421" s="108">
        <f t="shared" si="74"/>
        <v>1242.5</v>
      </c>
      <c r="F421" s="49"/>
      <c r="G421" s="108">
        <f t="shared" si="73"/>
        <v>1081</v>
      </c>
      <c r="H421" s="257"/>
      <c r="I421" s="257">
        <v>1081</v>
      </c>
      <c r="J421" s="257">
        <v>161.5</v>
      </c>
      <c r="K421" s="257"/>
      <c r="L421" s="390" t="s">
        <v>179</v>
      </c>
      <c r="M421" s="420"/>
      <c r="R421" s="240"/>
    </row>
    <row r="422" spans="1:18" s="199" customFormat="1" ht="43.5" customHeight="1">
      <c r="A422" s="418"/>
      <c r="B422" s="419"/>
      <c r="C422" s="390" t="s">
        <v>298</v>
      </c>
      <c r="D422" s="415">
        <v>2024</v>
      </c>
      <c r="E422" s="108">
        <f t="shared" si="74"/>
        <v>651.7</v>
      </c>
      <c r="F422" s="49"/>
      <c r="G422" s="108">
        <f t="shared" si="73"/>
        <v>567</v>
      </c>
      <c r="H422" s="257"/>
      <c r="I422" s="257">
        <v>567</v>
      </c>
      <c r="J422" s="257">
        <v>84.7</v>
      </c>
      <c r="K422" s="257"/>
      <c r="L422" s="390" t="s">
        <v>298</v>
      </c>
      <c r="M422" s="420"/>
      <c r="R422" s="240"/>
    </row>
    <row r="423" spans="1:13" s="199" customFormat="1" ht="41.25" customHeight="1">
      <c r="A423" s="406"/>
      <c r="B423" s="419"/>
      <c r="C423" s="321" t="s">
        <v>124</v>
      </c>
      <c r="D423" s="282"/>
      <c r="E423" s="108">
        <f t="shared" si="74"/>
        <v>0</v>
      </c>
      <c r="F423" s="46"/>
      <c r="G423" s="108">
        <f t="shared" si="73"/>
        <v>0</v>
      </c>
      <c r="H423" s="108"/>
      <c r="I423" s="108"/>
      <c r="J423" s="108"/>
      <c r="K423" s="108">
        <v>0</v>
      </c>
      <c r="L423" s="317" t="s">
        <v>124</v>
      </c>
      <c r="M423" s="420"/>
    </row>
    <row r="424" spans="1:13" ht="24.75" customHeight="1">
      <c r="A424" s="421"/>
      <c r="B424" s="422" t="s">
        <v>299</v>
      </c>
      <c r="C424" s="423"/>
      <c r="D424" s="181">
        <v>2017</v>
      </c>
      <c r="E424" s="424">
        <f t="shared" si="74"/>
        <v>26434.284</v>
      </c>
      <c r="F424" s="425">
        <f aca="true" t="shared" si="75" ref="F424:F425">G424+H424</f>
        <v>0</v>
      </c>
      <c r="G424" s="425">
        <f aca="true" t="shared" si="76" ref="G424:G425">H424+I424</f>
        <v>0</v>
      </c>
      <c r="H424" s="426">
        <f>H245+H246</f>
        <v>0</v>
      </c>
      <c r="I424" s="426">
        <f>I245+I246</f>
        <v>0</v>
      </c>
      <c r="J424" s="424">
        <f>J245+J246</f>
        <v>26434.284</v>
      </c>
      <c r="K424" s="424">
        <v>0</v>
      </c>
      <c r="L424" s="427"/>
      <c r="M424" s="176"/>
    </row>
    <row r="425" spans="1:13" ht="24.75" customHeight="1">
      <c r="A425" s="421"/>
      <c r="B425" s="422"/>
      <c r="C425" s="423"/>
      <c r="D425" s="183">
        <v>2018</v>
      </c>
      <c r="E425" s="79">
        <f t="shared" si="74"/>
        <v>29674.233</v>
      </c>
      <c r="F425" s="299">
        <f t="shared" si="75"/>
        <v>0</v>
      </c>
      <c r="G425" s="299">
        <f t="shared" si="76"/>
        <v>0</v>
      </c>
      <c r="H425" s="300">
        <f>H247</f>
        <v>0</v>
      </c>
      <c r="I425" s="300">
        <f>I247</f>
        <v>0</v>
      </c>
      <c r="J425" s="79">
        <f>J247+J350</f>
        <v>29674.233</v>
      </c>
      <c r="K425" s="300">
        <v>0</v>
      </c>
      <c r="L425" s="331"/>
      <c r="M425" s="176"/>
    </row>
    <row r="426" spans="1:13" ht="24.75" customHeight="1">
      <c r="A426" s="421"/>
      <c r="B426" s="422"/>
      <c r="C426" s="423"/>
      <c r="D426" s="183">
        <v>2019</v>
      </c>
      <c r="E426" s="79">
        <f>E263+E358+E376+E339+E389</f>
        <v>27583.273400000002</v>
      </c>
      <c r="F426" s="79">
        <f>F263+F358+F376+F339+F389</f>
        <v>0</v>
      </c>
      <c r="G426" s="79">
        <f>G263+G358+G376+G339+G389</f>
        <v>1436</v>
      </c>
      <c r="H426" s="79">
        <f>H263+H358+H376+H339+H389</f>
        <v>0</v>
      </c>
      <c r="I426" s="79">
        <f>I263+I358+I376+I339+I389</f>
        <v>1436</v>
      </c>
      <c r="J426" s="79">
        <f>J263+J358+J376+J339+J389</f>
        <v>26147.273400000002</v>
      </c>
      <c r="K426" s="79">
        <f>K263+K358+K376+K339+K389</f>
        <v>0</v>
      </c>
      <c r="L426" s="331"/>
      <c r="M426" s="176"/>
    </row>
    <row r="427" spans="1:13" ht="24.75" customHeight="1">
      <c r="A427" s="421"/>
      <c r="B427" s="422"/>
      <c r="C427" s="423"/>
      <c r="D427" s="183">
        <v>2020</v>
      </c>
      <c r="E427" s="79">
        <f>E278+E340+E361+E377+E392+E409</f>
        <v>18121.27489</v>
      </c>
      <c r="F427" s="79">
        <f>F278+F340+F361+F377+F392+F409</f>
        <v>0</v>
      </c>
      <c r="G427" s="79">
        <f>G278+G340+G361+G377+G392+G409</f>
        <v>1533</v>
      </c>
      <c r="H427" s="79">
        <f>H278+H340+H361+H377+H392+H409</f>
        <v>0</v>
      </c>
      <c r="I427" s="79">
        <f>I278+I340+I361+I377+I392+I409</f>
        <v>1533</v>
      </c>
      <c r="J427" s="79">
        <f>J278+J340+J361+J377+J392+J409</f>
        <v>16588.27489</v>
      </c>
      <c r="K427" s="79">
        <f>K278+K340+K361+K377+K392</f>
        <v>0</v>
      </c>
      <c r="L427" s="331"/>
      <c r="M427" s="176"/>
    </row>
    <row r="428" spans="1:13" ht="24.75" customHeight="1">
      <c r="A428" s="421"/>
      <c r="B428" s="422"/>
      <c r="C428" s="423"/>
      <c r="D428" s="183">
        <v>2021</v>
      </c>
      <c r="E428" s="79">
        <f>E288+E341+E365+E378+E393+E413</f>
        <v>16563.09093</v>
      </c>
      <c r="F428" s="79">
        <f>F288+F341+F365+F378+F393+F413</f>
        <v>0</v>
      </c>
      <c r="G428" s="79">
        <f>G288+G341+G365+G378+G393+G413</f>
        <v>0</v>
      </c>
      <c r="H428" s="79">
        <f>H288+H341+H365+H378+H393+H413</f>
        <v>0</v>
      </c>
      <c r="I428" s="79">
        <f>I288+I341+I365+I378+I393+I413</f>
        <v>0</v>
      </c>
      <c r="J428" s="79">
        <f>J288+J341+J365+J378+J393+J413</f>
        <v>16563.09093</v>
      </c>
      <c r="K428" s="79">
        <f>K288+K341+K365+K378+K393+K413</f>
        <v>0</v>
      </c>
      <c r="L428" s="331"/>
      <c r="M428" s="176"/>
    </row>
    <row r="429" spans="1:13" ht="24.75" customHeight="1">
      <c r="A429" s="421"/>
      <c r="B429" s="422"/>
      <c r="C429" s="423"/>
      <c r="D429" s="183">
        <v>2022</v>
      </c>
      <c r="E429" s="79">
        <f>E337+E375+E379+E394+E417+E418+E342</f>
        <v>6829.5830000000005</v>
      </c>
      <c r="F429" s="79">
        <f>F337+F375+F379+F394+F417+F418+F342</f>
        <v>0</v>
      </c>
      <c r="G429" s="79">
        <f>G337+G375+G379+G394+G417+G418+G342</f>
        <v>1645</v>
      </c>
      <c r="H429" s="79">
        <f>H337+H375+H379+H394+H417+H418+H342</f>
        <v>0</v>
      </c>
      <c r="I429" s="79">
        <f>I337+I375+I379+I394+I417+I418+I342</f>
        <v>1645</v>
      </c>
      <c r="J429" s="79">
        <f>J337+J375+J379+J394+J417+J418+J342</f>
        <v>5184.5830000000005</v>
      </c>
      <c r="K429" s="79">
        <f>K337+K375+K379+K394+K417+K418+K342</f>
        <v>0</v>
      </c>
      <c r="L429" s="79"/>
      <c r="M429" s="176"/>
    </row>
    <row r="430" spans="1:13" ht="24.75" customHeight="1">
      <c r="A430" s="421"/>
      <c r="B430" s="422"/>
      <c r="C430" s="423"/>
      <c r="D430" s="428">
        <v>2023</v>
      </c>
      <c r="E430" s="79">
        <f>E380+E419+E420</f>
        <v>1894.2</v>
      </c>
      <c r="F430" s="79">
        <f>F380+F419+F420</f>
        <v>0</v>
      </c>
      <c r="G430" s="79">
        <f>G380+G419+G420</f>
        <v>1648</v>
      </c>
      <c r="H430" s="79">
        <f>H380+H419+H420</f>
        <v>0</v>
      </c>
      <c r="I430" s="79">
        <f>I380+I419+I420</f>
        <v>1648</v>
      </c>
      <c r="J430" s="79">
        <f>J380+J419+J420</f>
        <v>246.2</v>
      </c>
      <c r="K430" s="79">
        <f>K380+K419+K420</f>
        <v>0</v>
      </c>
      <c r="L430" s="429"/>
      <c r="M430" s="176"/>
    </row>
    <row r="431" spans="1:13" ht="24.75" customHeight="1">
      <c r="A431" s="421"/>
      <c r="B431" s="422"/>
      <c r="C431" s="430"/>
      <c r="D431" s="431">
        <v>2024</v>
      </c>
      <c r="E431" s="432">
        <f>E421+E423+E422</f>
        <v>1894.2</v>
      </c>
      <c r="F431" s="432">
        <f>F421+F423+F422</f>
        <v>0</v>
      </c>
      <c r="G431" s="432">
        <f>G421+G423+G422</f>
        <v>1648</v>
      </c>
      <c r="H431" s="432">
        <f>H421+H423+H422</f>
        <v>0</v>
      </c>
      <c r="I431" s="432">
        <f>I421+I423+I422</f>
        <v>1648</v>
      </c>
      <c r="J431" s="432">
        <f>J421+J423+J422</f>
        <v>246.2</v>
      </c>
      <c r="K431" s="432">
        <f>K421+K423+K422</f>
        <v>0</v>
      </c>
      <c r="L431" s="432"/>
      <c r="M431" s="176"/>
    </row>
    <row r="432" spans="1:13" ht="27" customHeight="1">
      <c r="A432" s="433" t="s">
        <v>300</v>
      </c>
      <c r="B432" s="433"/>
      <c r="C432" s="433"/>
      <c r="D432" s="433"/>
      <c r="E432" s="434"/>
      <c r="F432" s="434"/>
      <c r="G432" s="434"/>
      <c r="H432" s="434"/>
      <c r="I432" s="434"/>
      <c r="J432" s="435"/>
      <c r="K432" s="434"/>
      <c r="L432" s="434"/>
      <c r="M432" s="436"/>
    </row>
    <row r="433" spans="1:13" ht="29.25" customHeight="1">
      <c r="A433" s="437" t="s">
        <v>301</v>
      </c>
      <c r="B433" s="438"/>
      <c r="C433" s="439"/>
      <c r="D433" s="439"/>
      <c r="E433" s="439"/>
      <c r="F433" s="439"/>
      <c r="G433" s="439"/>
      <c r="H433" s="439"/>
      <c r="I433" s="439"/>
      <c r="J433" s="440"/>
      <c r="K433" s="439"/>
      <c r="L433" s="441"/>
      <c r="M433" s="442"/>
    </row>
    <row r="434" spans="1:13" ht="27" customHeight="1">
      <c r="A434" s="437" t="s">
        <v>302</v>
      </c>
      <c r="B434" s="443"/>
      <c r="C434" s="439"/>
      <c r="D434" s="439"/>
      <c r="E434" s="439"/>
      <c r="F434" s="439"/>
      <c r="G434" s="439"/>
      <c r="H434" s="439"/>
      <c r="I434" s="439"/>
      <c r="J434" s="440"/>
      <c r="K434" s="444"/>
      <c r="L434" s="241"/>
      <c r="M434" s="82"/>
    </row>
    <row r="435" spans="1:13" ht="49.5" customHeight="1">
      <c r="A435" s="77" t="s">
        <v>303</v>
      </c>
      <c r="B435" s="445" t="s">
        <v>304</v>
      </c>
      <c r="C435" s="325"/>
      <c r="D435" s="13">
        <v>2017</v>
      </c>
      <c r="E435" s="32">
        <f aca="true" t="shared" si="77" ref="E435:E438">F435+G435+J435+K435</f>
        <v>200580.416</v>
      </c>
      <c r="F435" s="32">
        <f>F436+F437+F438+F440+F441+F442+F443</f>
        <v>124615.2</v>
      </c>
      <c r="G435" s="446">
        <f aca="true" t="shared" si="78" ref="G435:G438">H435+I435</f>
        <v>727</v>
      </c>
      <c r="H435" s="446">
        <f>H436+H437+H438+H440+H441+H442+H443</f>
        <v>0</v>
      </c>
      <c r="I435" s="446">
        <f>I436+I437+I438+I440+I441+I442+I443</f>
        <v>727</v>
      </c>
      <c r="J435" s="446">
        <f>J436+J437+J438+J440+J441+J442+J443</f>
        <v>75238.216</v>
      </c>
      <c r="K435" s="446">
        <f>K436+K437+K438+K440+K441+K442+K443</f>
        <v>0</v>
      </c>
      <c r="L435" s="241"/>
      <c r="M435" s="104" t="s">
        <v>305</v>
      </c>
    </row>
    <row r="436" spans="1:13" ht="27" customHeight="1">
      <c r="A436" s="77"/>
      <c r="B436" s="445"/>
      <c r="C436" s="325"/>
      <c r="D436" s="447"/>
      <c r="E436" s="32">
        <f t="shared" si="77"/>
        <v>64776.86</v>
      </c>
      <c r="F436" s="80">
        <v>54731.8</v>
      </c>
      <c r="G436" s="448">
        <f t="shared" si="78"/>
        <v>0</v>
      </c>
      <c r="H436" s="80"/>
      <c r="I436" s="80"/>
      <c r="J436" s="80">
        <v>10045.06</v>
      </c>
      <c r="K436" s="449">
        <v>0</v>
      </c>
      <c r="L436" s="81" t="s">
        <v>306</v>
      </c>
      <c r="M436" s="104"/>
    </row>
    <row r="437" spans="1:13" ht="27" customHeight="1">
      <c r="A437" s="77"/>
      <c r="B437" s="450"/>
      <c r="C437" s="451"/>
      <c r="D437" s="15"/>
      <c r="E437" s="32">
        <f t="shared" si="77"/>
        <v>20018.813</v>
      </c>
      <c r="F437" s="80"/>
      <c r="G437" s="448">
        <f t="shared" si="78"/>
        <v>0</v>
      </c>
      <c r="H437" s="80"/>
      <c r="I437" s="80"/>
      <c r="J437" s="80">
        <v>20018.813</v>
      </c>
      <c r="K437" s="449">
        <v>0</v>
      </c>
      <c r="L437" s="81" t="s">
        <v>307</v>
      </c>
      <c r="M437" s="104"/>
    </row>
    <row r="438" spans="1:13" ht="27" customHeight="1">
      <c r="A438" s="77"/>
      <c r="B438" s="452"/>
      <c r="C438" s="325"/>
      <c r="D438" s="15"/>
      <c r="E438" s="32">
        <f t="shared" si="77"/>
        <v>13226.366</v>
      </c>
      <c r="F438" s="80"/>
      <c r="G438" s="448">
        <f t="shared" si="78"/>
        <v>0</v>
      </c>
      <c r="H438" s="80"/>
      <c r="I438" s="80"/>
      <c r="J438" s="80">
        <v>13226.366</v>
      </c>
      <c r="K438" s="449">
        <v>0</v>
      </c>
      <c r="L438" s="81" t="s">
        <v>308</v>
      </c>
      <c r="M438" s="104"/>
    </row>
    <row r="439" spans="1:13" ht="27" customHeight="1">
      <c r="A439" s="77"/>
      <c r="B439" s="325"/>
      <c r="C439" s="325"/>
      <c r="D439" s="15"/>
      <c r="E439" s="32"/>
      <c r="F439" s="80"/>
      <c r="G439" s="448"/>
      <c r="H439" s="80"/>
      <c r="I439" s="80"/>
      <c r="J439" s="80"/>
      <c r="K439" s="449"/>
      <c r="L439" s="81"/>
      <c r="M439" s="104"/>
    </row>
    <row r="440" spans="1:13" ht="27" customHeight="1">
      <c r="A440" s="77"/>
      <c r="B440" s="325"/>
      <c r="C440" s="325"/>
      <c r="D440" s="15"/>
      <c r="E440" s="32">
        <f aca="true" t="shared" si="79" ref="E440:E492">F440+G440+J440+K440</f>
        <v>77631.458</v>
      </c>
      <c r="F440" s="80">
        <v>69883.4</v>
      </c>
      <c r="G440" s="448">
        <f aca="true" t="shared" si="80" ref="G440:G444">H440+I440</f>
        <v>0</v>
      </c>
      <c r="H440" s="80"/>
      <c r="I440" s="80"/>
      <c r="J440" s="80">
        <v>7748.058</v>
      </c>
      <c r="K440" s="449">
        <v>0</v>
      </c>
      <c r="L440" s="81" t="s">
        <v>94</v>
      </c>
      <c r="M440" s="104"/>
    </row>
    <row r="441" spans="1:13" ht="29.25" customHeight="1">
      <c r="A441" s="77"/>
      <c r="B441" s="325"/>
      <c r="C441" s="325"/>
      <c r="D441" s="15"/>
      <c r="E441" s="32">
        <f t="shared" si="79"/>
        <v>8225.922</v>
      </c>
      <c r="F441" s="33"/>
      <c r="G441" s="448">
        <f t="shared" si="80"/>
        <v>0</v>
      </c>
      <c r="H441" s="80"/>
      <c r="I441" s="80"/>
      <c r="J441" s="80">
        <v>8225.922</v>
      </c>
      <c r="K441" s="449">
        <v>0</v>
      </c>
      <c r="L441" s="81" t="s">
        <v>96</v>
      </c>
      <c r="M441" s="104"/>
    </row>
    <row r="442" spans="1:13" ht="32.25" customHeight="1">
      <c r="A442" s="77"/>
      <c r="B442" s="325"/>
      <c r="C442" s="325"/>
      <c r="D442" s="15"/>
      <c r="E442" s="32">
        <f t="shared" si="79"/>
        <v>11386.085</v>
      </c>
      <c r="F442" s="33"/>
      <c r="G442" s="448">
        <f t="shared" si="80"/>
        <v>0</v>
      </c>
      <c r="H442" s="80"/>
      <c r="I442" s="80"/>
      <c r="J442" s="80">
        <v>11386.085</v>
      </c>
      <c r="K442" s="449">
        <v>0</v>
      </c>
      <c r="L442" s="81" t="s">
        <v>309</v>
      </c>
      <c r="M442" s="104"/>
    </row>
    <row r="443" spans="1:13" ht="54" customHeight="1">
      <c r="A443" s="77"/>
      <c r="B443" s="325"/>
      <c r="C443" s="325"/>
      <c r="D443" s="15"/>
      <c r="E443" s="32">
        <f t="shared" si="79"/>
        <v>5314.912</v>
      </c>
      <c r="F443" s="33"/>
      <c r="G443" s="448">
        <f t="shared" si="80"/>
        <v>727</v>
      </c>
      <c r="H443" s="80">
        <v>0</v>
      </c>
      <c r="I443" s="80">
        <v>727</v>
      </c>
      <c r="J443" s="80">
        <f>5287.912-700</f>
        <v>4587.912</v>
      </c>
      <c r="K443" s="449">
        <v>0</v>
      </c>
      <c r="L443" s="81" t="s">
        <v>310</v>
      </c>
      <c r="M443" s="104"/>
    </row>
    <row r="444" spans="1:13" ht="28.5" customHeight="1">
      <c r="A444" s="77"/>
      <c r="B444" s="325"/>
      <c r="C444" s="325"/>
      <c r="D444" s="15">
        <v>2017</v>
      </c>
      <c r="E444" s="32">
        <f t="shared" si="79"/>
        <v>16200</v>
      </c>
      <c r="F444" s="83"/>
      <c r="G444" s="83">
        <f t="shared" si="80"/>
        <v>0</v>
      </c>
      <c r="H444" s="83">
        <v>0</v>
      </c>
      <c r="I444" s="83">
        <v>0</v>
      </c>
      <c r="J444" s="83">
        <v>16200</v>
      </c>
      <c r="K444" s="83">
        <v>0</v>
      </c>
      <c r="L444" s="81" t="s">
        <v>311</v>
      </c>
      <c r="M444" s="104"/>
    </row>
    <row r="445" spans="1:13" ht="27" customHeight="1" hidden="1">
      <c r="A445" s="77"/>
      <c r="B445" s="325"/>
      <c r="C445" s="453"/>
      <c r="D445" s="15"/>
      <c r="E445" s="32">
        <f t="shared" si="79"/>
        <v>0</v>
      </c>
      <c r="F445" s="83"/>
      <c r="G445" s="83"/>
      <c r="H445" s="83"/>
      <c r="I445" s="83"/>
      <c r="J445" s="80"/>
      <c r="K445" s="80"/>
      <c r="L445" s="71"/>
      <c r="M445" s="104"/>
    </row>
    <row r="446" spans="1:13" ht="24.75" customHeight="1">
      <c r="A446" s="454" t="s">
        <v>312</v>
      </c>
      <c r="B446" s="455" t="s">
        <v>313</v>
      </c>
      <c r="C446" s="456"/>
      <c r="D446" s="15">
        <v>2018</v>
      </c>
      <c r="E446" s="32">
        <f t="shared" si="79"/>
        <v>209116.99978</v>
      </c>
      <c r="F446" s="32">
        <f>SUM(F447:F453)</f>
        <v>137344.5</v>
      </c>
      <c r="G446" s="32">
        <f aca="true" t="shared" si="81" ref="G446:G453">H446+I446</f>
        <v>1006.9820000000001</v>
      </c>
      <c r="H446" s="32">
        <f>H447+H448+H449+H450+H451+H452+H453</f>
        <v>0</v>
      </c>
      <c r="I446" s="32">
        <f>SUM(I447:I453)</f>
        <v>1006.9820000000001</v>
      </c>
      <c r="J446" s="32">
        <f>J447+J448+J449+J450+J451+J452+J453</f>
        <v>70765.51778000001</v>
      </c>
      <c r="K446" s="83">
        <v>0</v>
      </c>
      <c r="L446" s="71"/>
      <c r="M446" s="104"/>
    </row>
    <row r="447" spans="1:13" ht="24.75" customHeight="1">
      <c r="A447" s="454"/>
      <c r="B447" s="455"/>
      <c r="C447" s="456"/>
      <c r="D447" s="15"/>
      <c r="E447" s="32">
        <f t="shared" si="79"/>
        <v>23993.106</v>
      </c>
      <c r="F447" s="33">
        <f>13666.243+401.723+232.4</f>
        <v>14300.366</v>
      </c>
      <c r="G447" s="32">
        <f t="shared" si="81"/>
        <v>0</v>
      </c>
      <c r="H447" s="33"/>
      <c r="I447" s="457"/>
      <c r="J447" s="33">
        <f>9852.084+390.21-2100+341.676+175.77+33+1000</f>
        <v>9692.74</v>
      </c>
      <c r="K447" s="80">
        <v>0</v>
      </c>
      <c r="L447" s="81" t="s">
        <v>306</v>
      </c>
      <c r="M447" s="104"/>
    </row>
    <row r="448" spans="1:13" ht="24.75" customHeight="1">
      <c r="A448" s="454"/>
      <c r="B448" s="455"/>
      <c r="C448" s="456"/>
      <c r="D448" s="15"/>
      <c r="E448" s="32">
        <f t="shared" si="79"/>
        <v>50093.08377</v>
      </c>
      <c r="F448" s="33">
        <f>29992.565+858.854</f>
        <v>30851.418999999998</v>
      </c>
      <c r="G448" s="32">
        <f t="shared" si="81"/>
        <v>0</v>
      </c>
      <c r="H448" s="33"/>
      <c r="I448" s="457"/>
      <c r="J448" s="33">
        <f>20130.966+919.02-4300+766.8+389.718+170+1165.16077</f>
        <v>19241.66477</v>
      </c>
      <c r="K448" s="80">
        <v>0</v>
      </c>
      <c r="L448" s="81" t="s">
        <v>307</v>
      </c>
      <c r="M448" s="104"/>
    </row>
    <row r="449" spans="1:13" ht="24.75" customHeight="1">
      <c r="A449" s="454"/>
      <c r="B449" s="455"/>
      <c r="C449" s="456"/>
      <c r="D449" s="15"/>
      <c r="E449" s="32">
        <f t="shared" si="79"/>
        <v>28049.476</v>
      </c>
      <c r="F449" s="33">
        <f>14985.192+401.723</f>
        <v>15386.914999999999</v>
      </c>
      <c r="G449" s="32">
        <f t="shared" si="81"/>
        <v>0</v>
      </c>
      <c r="H449" s="33"/>
      <c r="I449" s="457"/>
      <c r="J449" s="33">
        <f>13529.638+429.793-2900+367.83+195.3+40+1000</f>
        <v>12662.561</v>
      </c>
      <c r="K449" s="80">
        <v>0</v>
      </c>
      <c r="L449" s="81" t="s">
        <v>308</v>
      </c>
      <c r="M449" s="104"/>
    </row>
    <row r="450" spans="1:13" ht="24.75" customHeight="1">
      <c r="A450" s="454"/>
      <c r="B450" s="455"/>
      <c r="C450" s="456"/>
      <c r="D450" s="15"/>
      <c r="E450" s="32">
        <f t="shared" si="79"/>
        <v>42507.873999999996</v>
      </c>
      <c r="F450" s="33">
        <f>30680.494+2764.647+1578.681</f>
        <v>35023.82199999999</v>
      </c>
      <c r="G450" s="32">
        <f t="shared" si="81"/>
        <v>0</v>
      </c>
      <c r="H450" s="33"/>
      <c r="I450" s="457"/>
      <c r="J450" s="33">
        <f>8048.81-1700+345.242-210+1000</f>
        <v>7484.052000000001</v>
      </c>
      <c r="K450" s="80">
        <v>0</v>
      </c>
      <c r="L450" s="81" t="s">
        <v>94</v>
      </c>
      <c r="M450" s="104"/>
    </row>
    <row r="451" spans="1:13" ht="24.75" customHeight="1">
      <c r="A451" s="454"/>
      <c r="B451" s="455"/>
      <c r="C451" s="456"/>
      <c r="D451" s="15"/>
      <c r="E451" s="32">
        <f t="shared" si="79"/>
        <v>50010.63799999999</v>
      </c>
      <c r="F451" s="33">
        <f>39719.506+177.753+1884.719</f>
        <v>41781.977999999996</v>
      </c>
      <c r="G451" s="32">
        <f t="shared" si="81"/>
        <v>0</v>
      </c>
      <c r="H451" s="33"/>
      <c r="I451" s="457"/>
      <c r="J451" s="33">
        <f>8631.55-1800+397.11+1000</f>
        <v>8228.66</v>
      </c>
      <c r="K451" s="80">
        <v>0</v>
      </c>
      <c r="L451" s="81" t="s">
        <v>96</v>
      </c>
      <c r="M451" s="104"/>
    </row>
    <row r="452" spans="1:13" ht="24.75" customHeight="1">
      <c r="A452" s="454"/>
      <c r="B452" s="455"/>
      <c r="C452" s="456"/>
      <c r="D452" s="15"/>
      <c r="E452" s="32">
        <f t="shared" si="79"/>
        <v>9699.46648</v>
      </c>
      <c r="F452" s="32"/>
      <c r="G452" s="32">
        <f t="shared" si="81"/>
        <v>1006.9820000000001</v>
      </c>
      <c r="H452" s="33">
        <v>0</v>
      </c>
      <c r="I452" s="33">
        <f>607.273+227.345+172.364</f>
        <v>1006.9820000000001</v>
      </c>
      <c r="J452" s="33">
        <f>10509.141+105.556-2200-617.733+133+762.52048</f>
        <v>8692.48448</v>
      </c>
      <c r="K452" s="80">
        <v>0</v>
      </c>
      <c r="L452" s="81" t="s">
        <v>309</v>
      </c>
      <c r="M452" s="104"/>
    </row>
    <row r="453" spans="1:13" ht="35.25" customHeight="1">
      <c r="A453" s="454"/>
      <c r="B453" s="455"/>
      <c r="C453" s="456"/>
      <c r="D453" s="15"/>
      <c r="E453" s="32">
        <f t="shared" si="79"/>
        <v>4763.355530000001</v>
      </c>
      <c r="F453" s="32"/>
      <c r="G453" s="32">
        <f t="shared" si="81"/>
        <v>0</v>
      </c>
      <c r="H453" s="33"/>
      <c r="I453" s="33">
        <v>0</v>
      </c>
      <c r="J453" s="33">
        <f>4700.622+104.16-92.24918+50.82271</f>
        <v>4763.355530000001</v>
      </c>
      <c r="K453" s="80">
        <v>0</v>
      </c>
      <c r="L453" s="81" t="s">
        <v>314</v>
      </c>
      <c r="M453" s="104"/>
    </row>
    <row r="454" spans="1:13" ht="24.75" customHeight="1">
      <c r="A454" s="454"/>
      <c r="B454" s="455"/>
      <c r="C454" s="456"/>
      <c r="D454" s="15">
        <v>2018</v>
      </c>
      <c r="E454" s="32">
        <f t="shared" si="79"/>
        <v>0</v>
      </c>
      <c r="F454" s="32">
        <f>SUM(F455:F459)</f>
        <v>0</v>
      </c>
      <c r="G454" s="32">
        <f>SUM(G455:G459)</f>
        <v>0</v>
      </c>
      <c r="H454" s="32">
        <f>SUM(H455:H459)</f>
        <v>0</v>
      </c>
      <c r="I454" s="32">
        <f>SUM(I455:I459)</f>
        <v>0</v>
      </c>
      <c r="J454" s="32">
        <f>SUM(J455:J459)</f>
        <v>0</v>
      </c>
      <c r="K454" s="83"/>
      <c r="L454" s="458"/>
      <c r="M454" s="104"/>
    </row>
    <row r="455" spans="1:13" ht="24.75" customHeight="1">
      <c r="A455" s="454"/>
      <c r="B455" s="455"/>
      <c r="C455" s="456"/>
      <c r="D455" s="15"/>
      <c r="E455" s="32">
        <f t="shared" si="79"/>
        <v>0</v>
      </c>
      <c r="F455" s="102"/>
      <c r="G455" s="32">
        <f aca="true" t="shared" si="82" ref="G455:G469">H455+I455</f>
        <v>0</v>
      </c>
      <c r="H455" s="33"/>
      <c r="I455" s="33"/>
      <c r="J455" s="33">
        <v>0</v>
      </c>
      <c r="K455" s="80"/>
      <c r="L455" s="81" t="s">
        <v>306</v>
      </c>
      <c r="M455" s="104"/>
    </row>
    <row r="456" spans="1:13" ht="24.75" customHeight="1">
      <c r="A456" s="454"/>
      <c r="B456" s="455"/>
      <c r="C456" s="456"/>
      <c r="D456" s="15"/>
      <c r="E456" s="32">
        <f t="shared" si="79"/>
        <v>0</v>
      </c>
      <c r="F456" s="102"/>
      <c r="G456" s="32">
        <f t="shared" si="82"/>
        <v>0</v>
      </c>
      <c r="H456" s="33"/>
      <c r="I456" s="33"/>
      <c r="J456" s="33">
        <v>0</v>
      </c>
      <c r="K456" s="80"/>
      <c r="L456" s="81" t="s">
        <v>307</v>
      </c>
      <c r="M456" s="104"/>
    </row>
    <row r="457" spans="1:13" ht="24.75" customHeight="1">
      <c r="A457" s="454"/>
      <c r="B457" s="455"/>
      <c r="C457" s="456"/>
      <c r="D457" s="15"/>
      <c r="E457" s="32">
        <f t="shared" si="79"/>
        <v>0</v>
      </c>
      <c r="F457" s="102"/>
      <c r="G457" s="32">
        <f t="shared" si="82"/>
        <v>0</v>
      </c>
      <c r="H457" s="33"/>
      <c r="I457" s="33"/>
      <c r="J457" s="33">
        <v>0</v>
      </c>
      <c r="K457" s="80"/>
      <c r="L457" s="81" t="s">
        <v>308</v>
      </c>
      <c r="M457" s="104"/>
    </row>
    <row r="458" spans="1:13" ht="24.75" customHeight="1">
      <c r="A458" s="454"/>
      <c r="B458" s="455"/>
      <c r="C458" s="456"/>
      <c r="D458" s="15"/>
      <c r="E458" s="32">
        <f t="shared" si="79"/>
        <v>0</v>
      </c>
      <c r="F458" s="102"/>
      <c r="G458" s="32">
        <f t="shared" si="82"/>
        <v>0</v>
      </c>
      <c r="H458" s="33"/>
      <c r="I458" s="33"/>
      <c r="J458" s="33">
        <v>0</v>
      </c>
      <c r="K458" s="80"/>
      <c r="L458" s="81" t="s">
        <v>94</v>
      </c>
      <c r="M458" s="104"/>
    </row>
    <row r="459" spans="1:13" ht="24.75" customHeight="1">
      <c r="A459" s="454"/>
      <c r="B459" s="455"/>
      <c r="C459" s="456"/>
      <c r="D459" s="15"/>
      <c r="E459" s="46">
        <f t="shared" si="79"/>
        <v>0</v>
      </c>
      <c r="F459" s="103"/>
      <c r="G459" s="46">
        <f t="shared" si="82"/>
        <v>0</v>
      </c>
      <c r="H459" s="47"/>
      <c r="I459" s="47"/>
      <c r="J459" s="47">
        <v>0</v>
      </c>
      <c r="K459" s="143"/>
      <c r="L459" s="459" t="s">
        <v>96</v>
      </c>
      <c r="M459" s="104"/>
    </row>
    <row r="460" spans="1:13" ht="24.75" customHeight="1">
      <c r="A460" s="454"/>
      <c r="B460" s="455"/>
      <c r="C460" s="456"/>
      <c r="D460" s="460">
        <v>2019</v>
      </c>
      <c r="E460" s="128">
        <f t="shared" si="79"/>
        <v>229770.53044</v>
      </c>
      <c r="F460" s="129">
        <f>SUM(F461:F469)</f>
        <v>150533.8</v>
      </c>
      <c r="G460" s="129">
        <f t="shared" si="82"/>
        <v>1276.052</v>
      </c>
      <c r="H460" s="129">
        <f>H461+H462+H463+H464+H465+H467+H469</f>
        <v>0</v>
      </c>
      <c r="I460" s="129">
        <f>I461+I462+I463+I464+I465+I467+I469</f>
        <v>1276.052</v>
      </c>
      <c r="J460" s="129">
        <f>SUM(J461:J469)</f>
        <v>77960.67844</v>
      </c>
      <c r="K460" s="129">
        <f>SUM(K461:K469)</f>
        <v>0</v>
      </c>
      <c r="L460" s="461"/>
      <c r="M460" s="104"/>
    </row>
    <row r="461" spans="1:13" ht="24.75" customHeight="1">
      <c r="A461" s="454"/>
      <c r="B461" s="455"/>
      <c r="C461" s="456"/>
      <c r="D461" s="460"/>
      <c r="E461" s="132">
        <f t="shared" si="79"/>
        <v>24241.684</v>
      </c>
      <c r="F461" s="132">
        <f>13252.661+1120.6</f>
        <v>14373.261</v>
      </c>
      <c r="G461" s="132">
        <f t="shared" si="82"/>
        <v>0</v>
      </c>
      <c r="H461" s="132"/>
      <c r="I461" s="132"/>
      <c r="J461" s="132">
        <f>9770.96256+1.65244--30+65.808</f>
        <v>9868.423</v>
      </c>
      <c r="K461" s="132">
        <v>0</v>
      </c>
      <c r="L461" s="462" t="s">
        <v>306</v>
      </c>
      <c r="M461" s="104"/>
    </row>
    <row r="462" spans="1:13" ht="24.75" customHeight="1">
      <c r="A462" s="454"/>
      <c r="B462" s="455"/>
      <c r="C462" s="456"/>
      <c r="D462" s="460"/>
      <c r="E462" s="80">
        <f t="shared" si="79"/>
        <v>49871.14725</v>
      </c>
      <c r="F462" s="80">
        <f>29522.977-533.6</f>
        <v>28989.377</v>
      </c>
      <c r="G462" s="80">
        <f t="shared" si="82"/>
        <v>0</v>
      </c>
      <c r="H462" s="80"/>
      <c r="I462" s="80"/>
      <c r="J462" s="80">
        <f>20596.83525-30+314.935</f>
        <v>20881.77025</v>
      </c>
      <c r="K462" s="80">
        <v>0</v>
      </c>
      <c r="L462" s="81" t="s">
        <v>307</v>
      </c>
      <c r="M462" s="104"/>
    </row>
    <row r="463" spans="1:13" ht="24.75" customHeight="1">
      <c r="A463" s="454"/>
      <c r="B463" s="455"/>
      <c r="C463" s="456"/>
      <c r="D463" s="460"/>
      <c r="E463" s="80">
        <f t="shared" si="79"/>
        <v>29872.57956</v>
      </c>
      <c r="F463" s="80">
        <f>15424.362+117.4</f>
        <v>15541.761999999999</v>
      </c>
      <c r="G463" s="80">
        <f t="shared" si="82"/>
        <v>0</v>
      </c>
      <c r="H463" s="80"/>
      <c r="I463" s="80"/>
      <c r="J463" s="80">
        <f>12530.84+998.142-1.65244+803.488</f>
        <v>14330.81756</v>
      </c>
      <c r="K463" s="80">
        <v>0</v>
      </c>
      <c r="L463" s="81" t="s">
        <v>308</v>
      </c>
      <c r="M463" s="104"/>
    </row>
    <row r="464" spans="1:13" ht="24.75" customHeight="1">
      <c r="A464" s="454"/>
      <c r="B464" s="455"/>
      <c r="C464" s="456"/>
      <c r="D464" s="460"/>
      <c r="E464" s="80">
        <f t="shared" si="79"/>
        <v>49171.80562000001</v>
      </c>
      <c r="F464" s="80">
        <f>39746.014+486.427+1812.116</f>
        <v>42044.55700000001</v>
      </c>
      <c r="G464" s="80">
        <f t="shared" si="82"/>
        <v>0</v>
      </c>
      <c r="H464" s="80"/>
      <c r="I464" s="80"/>
      <c r="J464" s="80">
        <f>6993.76062+133.488</f>
        <v>7127.24862</v>
      </c>
      <c r="K464" s="80">
        <v>0</v>
      </c>
      <c r="L464" s="81" t="s">
        <v>94</v>
      </c>
      <c r="M464" s="104"/>
    </row>
    <row r="465" spans="1:13" ht="24.75" customHeight="1">
      <c r="A465" s="454"/>
      <c r="B465" s="455"/>
      <c r="C465" s="456"/>
      <c r="D465" s="460"/>
      <c r="E465" s="80">
        <f t="shared" si="79"/>
        <v>57432.95017</v>
      </c>
      <c r="F465" s="80">
        <f>46911.986+528.073+2144.784</f>
        <v>49584.84299999999</v>
      </c>
      <c r="G465" s="80">
        <f t="shared" si="82"/>
        <v>0</v>
      </c>
      <c r="H465" s="80"/>
      <c r="I465" s="80"/>
      <c r="J465" s="80">
        <f>7595.99717+252.11</f>
        <v>7848.107169999999</v>
      </c>
      <c r="K465" s="80">
        <v>0</v>
      </c>
      <c r="L465" s="81" t="s">
        <v>96</v>
      </c>
      <c r="M465" s="104"/>
    </row>
    <row r="466" spans="1:13" ht="24.75" customHeight="1">
      <c r="A466" s="454"/>
      <c r="B466" s="455"/>
      <c r="C466" s="456"/>
      <c r="D466" s="460"/>
      <c r="E466" s="80">
        <f t="shared" si="79"/>
        <v>5966.100090000001</v>
      </c>
      <c r="F466" s="80">
        <v>0</v>
      </c>
      <c r="G466" s="80">
        <f t="shared" si="82"/>
        <v>0</v>
      </c>
      <c r="H466" s="80"/>
      <c r="I466" s="80"/>
      <c r="J466" s="80">
        <f>4712.3+667.168+264.33597+127.27612+136.43+58.59</f>
        <v>5966.100090000001</v>
      </c>
      <c r="K466" s="80">
        <v>0</v>
      </c>
      <c r="L466" s="71" t="s">
        <v>315</v>
      </c>
      <c r="M466" s="104"/>
    </row>
    <row r="467" spans="1:13" ht="24.75" customHeight="1">
      <c r="A467" s="454"/>
      <c r="B467" s="455"/>
      <c r="C467" s="456"/>
      <c r="D467" s="460"/>
      <c r="E467" s="80">
        <f t="shared" si="79"/>
        <v>5395.09146</v>
      </c>
      <c r="F467" s="80">
        <v>0</v>
      </c>
      <c r="G467" s="80">
        <f t="shared" si="82"/>
        <v>0</v>
      </c>
      <c r="H467" s="80"/>
      <c r="I467" s="80"/>
      <c r="J467" s="80">
        <f>5746.63146-351.54</f>
        <v>5395.09146</v>
      </c>
      <c r="K467" s="80">
        <v>0</v>
      </c>
      <c r="L467" s="71" t="s">
        <v>316</v>
      </c>
      <c r="M467" s="104"/>
    </row>
    <row r="468" spans="1:13" ht="24.75" customHeight="1">
      <c r="A468" s="454"/>
      <c r="B468" s="455"/>
      <c r="C468" s="456"/>
      <c r="D468" s="460"/>
      <c r="E468" s="80">
        <f t="shared" si="79"/>
        <v>59.5</v>
      </c>
      <c r="F468" s="80">
        <v>0</v>
      </c>
      <c r="G468" s="80">
        <f t="shared" si="82"/>
        <v>0</v>
      </c>
      <c r="H468" s="80"/>
      <c r="I468" s="80"/>
      <c r="J468" s="80">
        <v>59.5</v>
      </c>
      <c r="K468" s="80">
        <v>0</v>
      </c>
      <c r="L468" s="71" t="s">
        <v>317</v>
      </c>
      <c r="M468" s="104"/>
    </row>
    <row r="469" spans="1:13" ht="36" customHeight="1">
      <c r="A469" s="454"/>
      <c r="B469" s="455"/>
      <c r="C469" s="463"/>
      <c r="D469" s="460"/>
      <c r="E469" s="143">
        <f t="shared" si="79"/>
        <v>7759.672289999999</v>
      </c>
      <c r="F469" s="143">
        <v>0</v>
      </c>
      <c r="G469" s="143">
        <f t="shared" si="82"/>
        <v>1276.052</v>
      </c>
      <c r="H469" s="143"/>
      <c r="I469" s="143">
        <f>1139.636+136.416</f>
        <v>1276.052</v>
      </c>
      <c r="J469" s="143">
        <f>5849.69929-59.5+585.9+107.521</f>
        <v>6483.620289999999</v>
      </c>
      <c r="K469" s="143">
        <v>0</v>
      </c>
      <c r="L469" s="464" t="s">
        <v>314</v>
      </c>
      <c r="M469" s="104"/>
    </row>
    <row r="470" spans="1:13" ht="27" customHeight="1">
      <c r="A470" s="454"/>
      <c r="B470" s="455"/>
      <c r="C470" s="463"/>
      <c r="D470" s="465">
        <v>2020</v>
      </c>
      <c r="E470" s="128">
        <f t="shared" si="79"/>
        <v>235602.07301</v>
      </c>
      <c r="F470" s="129">
        <f>SUM(F471:F479)</f>
        <v>151107</v>
      </c>
      <c r="G470" s="129">
        <f>SUM(G471:G479)</f>
        <v>1271</v>
      </c>
      <c r="H470" s="129">
        <f>SUM(H471:H479)</f>
        <v>0</v>
      </c>
      <c r="I470" s="129">
        <f>SUM(I471:I479)</f>
        <v>1271</v>
      </c>
      <c r="J470" s="129">
        <f>SUM(J471:J479)</f>
        <v>83224.07301</v>
      </c>
      <c r="K470" s="129">
        <f>SUM(K471:K479)</f>
        <v>0</v>
      </c>
      <c r="L470" s="466"/>
      <c r="M470" s="104"/>
    </row>
    <row r="471" spans="1:13" ht="33.75" customHeight="1">
      <c r="A471" s="454"/>
      <c r="B471" s="455"/>
      <c r="C471" s="463"/>
      <c r="D471" s="465"/>
      <c r="E471" s="132">
        <f t="shared" si="79"/>
        <v>24429.962</v>
      </c>
      <c r="F471" s="132">
        <f>14700-1292.529</f>
        <v>13407.471</v>
      </c>
      <c r="G471" s="132">
        <f aca="true" t="shared" si="83" ref="G471:G476">H471+I471</f>
        <v>0</v>
      </c>
      <c r="H471" s="132"/>
      <c r="I471" s="132"/>
      <c r="J471" s="119">
        <f>10684.932+359.399-21.84</f>
        <v>11022.491</v>
      </c>
      <c r="K471" s="132">
        <v>0</v>
      </c>
      <c r="L471" s="288" t="s">
        <v>318</v>
      </c>
      <c r="M471" s="104"/>
    </row>
    <row r="472" spans="1:13" ht="39.75" customHeight="1">
      <c r="A472" s="454"/>
      <c r="B472" s="455"/>
      <c r="C472" s="463"/>
      <c r="D472" s="465"/>
      <c r="E472" s="80">
        <f t="shared" si="79"/>
        <v>52751.153000000006</v>
      </c>
      <c r="F472" s="80">
        <f>30246-286.376</f>
        <v>29959.624</v>
      </c>
      <c r="G472" s="80">
        <f t="shared" si="83"/>
        <v>0</v>
      </c>
      <c r="H472" s="80"/>
      <c r="I472" s="80"/>
      <c r="J472" s="33">
        <f>21928.883+791.842+200-129.196</f>
        <v>22791.529000000002</v>
      </c>
      <c r="K472" s="80">
        <v>0</v>
      </c>
      <c r="L472" s="96" t="s">
        <v>319</v>
      </c>
      <c r="M472" s="104"/>
    </row>
    <row r="473" spans="1:13" ht="33" customHeight="1">
      <c r="A473" s="454"/>
      <c r="B473" s="455"/>
      <c r="C473" s="463"/>
      <c r="D473" s="465"/>
      <c r="E473" s="80">
        <f t="shared" si="79"/>
        <v>29488.001</v>
      </c>
      <c r="F473" s="80">
        <f>16200-1075.066</f>
        <v>15124.934</v>
      </c>
      <c r="G473" s="80">
        <f t="shared" si="83"/>
        <v>0</v>
      </c>
      <c r="H473" s="80"/>
      <c r="I473" s="80"/>
      <c r="J473" s="33">
        <f>14792.02+385.475-814.428</f>
        <v>14363.067000000001</v>
      </c>
      <c r="K473" s="80">
        <v>0</v>
      </c>
      <c r="L473" s="96" t="s">
        <v>320</v>
      </c>
      <c r="M473" s="104"/>
    </row>
    <row r="474" spans="1:13" ht="27.75" customHeight="1">
      <c r="A474" s="454"/>
      <c r="B474" s="455"/>
      <c r="C474" s="463"/>
      <c r="D474" s="465"/>
      <c r="E474" s="80">
        <f t="shared" si="79"/>
        <v>52028.272</v>
      </c>
      <c r="F474" s="80">
        <f>40601+2420.539+901.952</f>
        <v>43923.490999999995</v>
      </c>
      <c r="G474" s="80">
        <f t="shared" si="83"/>
        <v>0</v>
      </c>
      <c r="H474" s="80"/>
      <c r="I474" s="80"/>
      <c r="J474" s="33">
        <f>7875.425+81.356+148</f>
        <v>8104.781</v>
      </c>
      <c r="K474" s="80">
        <v>0</v>
      </c>
      <c r="L474" s="96" t="s">
        <v>94</v>
      </c>
      <c r="M474" s="104"/>
    </row>
    <row r="475" spans="1:13" ht="27" customHeight="1">
      <c r="A475" s="454"/>
      <c r="B475" s="455"/>
      <c r="C475" s="463"/>
      <c r="D475" s="465"/>
      <c r="E475" s="80">
        <f t="shared" si="79"/>
        <v>56928.04151</v>
      </c>
      <c r="F475" s="80">
        <f>47860+233.432+598.048</f>
        <v>48691.48</v>
      </c>
      <c r="G475" s="80">
        <f t="shared" si="83"/>
        <v>0</v>
      </c>
      <c r="H475" s="80"/>
      <c r="I475" s="80"/>
      <c r="J475" s="33">
        <f>8506.19+110.34-379.96849</f>
        <v>8236.561510000001</v>
      </c>
      <c r="K475" s="80">
        <v>0</v>
      </c>
      <c r="L475" s="96" t="s">
        <v>96</v>
      </c>
      <c r="M475" s="104"/>
    </row>
    <row r="476" spans="1:13" ht="33.75" customHeight="1">
      <c r="A476" s="454"/>
      <c r="B476" s="455"/>
      <c r="C476" s="463"/>
      <c r="D476" s="465"/>
      <c r="E476" s="80">
        <f t="shared" si="79"/>
        <v>6761.31</v>
      </c>
      <c r="F476" s="80">
        <v>0</v>
      </c>
      <c r="G476" s="80">
        <f t="shared" si="83"/>
        <v>0</v>
      </c>
      <c r="H476" s="80"/>
      <c r="I476" s="80"/>
      <c r="J476" s="33">
        <f>5710.81+1050.5</f>
        <v>6761.31</v>
      </c>
      <c r="K476" s="80">
        <v>0</v>
      </c>
      <c r="L476" s="96" t="s">
        <v>321</v>
      </c>
      <c r="M476" s="104"/>
    </row>
    <row r="477" spans="1:13" ht="27" customHeight="1">
      <c r="A477" s="454"/>
      <c r="B477" s="455"/>
      <c r="C477" s="463"/>
      <c r="D477" s="465"/>
      <c r="E477" s="80">
        <f t="shared" si="79"/>
        <v>5709.542</v>
      </c>
      <c r="F477" s="80">
        <v>0</v>
      </c>
      <c r="G477" s="80">
        <v>0</v>
      </c>
      <c r="H477" s="80"/>
      <c r="I477" s="80"/>
      <c r="J477" s="33">
        <v>5709.542</v>
      </c>
      <c r="K477" s="80"/>
      <c r="L477" s="96" t="s">
        <v>316</v>
      </c>
      <c r="M477" s="104"/>
    </row>
    <row r="478" spans="1:13" ht="27" customHeight="1">
      <c r="A478" s="454"/>
      <c r="B478" s="455"/>
      <c r="C478" s="463"/>
      <c r="D478" s="465"/>
      <c r="E478" s="80">
        <f t="shared" si="79"/>
        <v>1460.973</v>
      </c>
      <c r="F478" s="80">
        <v>0</v>
      </c>
      <c r="G478" s="143">
        <f aca="true" t="shared" si="84" ref="G478:G492">H478+I478</f>
        <v>1271</v>
      </c>
      <c r="H478" s="80"/>
      <c r="I478" s="80">
        <v>1271</v>
      </c>
      <c r="J478" s="33">
        <f>190-0.127+0.1</f>
        <v>189.97299999999998</v>
      </c>
      <c r="K478" s="80"/>
      <c r="L478" s="96" t="s">
        <v>322</v>
      </c>
      <c r="M478" s="104"/>
    </row>
    <row r="479" spans="1:13" ht="27" customHeight="1">
      <c r="A479" s="454"/>
      <c r="B479" s="455"/>
      <c r="C479" s="463"/>
      <c r="D479" s="465"/>
      <c r="E479" s="143">
        <f t="shared" si="79"/>
        <v>6044.8185</v>
      </c>
      <c r="F479" s="143">
        <v>0</v>
      </c>
      <c r="G479" s="143">
        <f t="shared" si="84"/>
        <v>0</v>
      </c>
      <c r="H479" s="143"/>
      <c r="I479" s="143">
        <v>0</v>
      </c>
      <c r="J479" s="47">
        <f>6405.021-360.3295+0.127</f>
        <v>6044.8185</v>
      </c>
      <c r="K479" s="143">
        <v>0</v>
      </c>
      <c r="L479" s="286" t="s">
        <v>323</v>
      </c>
      <c r="M479" s="104"/>
    </row>
    <row r="480" spans="1:13" s="471" customFormat="1" ht="27" customHeight="1">
      <c r="A480" s="454"/>
      <c r="B480" s="455"/>
      <c r="C480" s="467"/>
      <c r="D480" s="468">
        <v>2021</v>
      </c>
      <c r="E480" s="469">
        <f t="shared" si="79"/>
        <v>240354.62797</v>
      </c>
      <c r="F480" s="469">
        <f>SUM(F481:F492)</f>
        <v>157115</v>
      </c>
      <c r="G480" s="469">
        <f t="shared" si="84"/>
        <v>2020.82</v>
      </c>
      <c r="H480" s="469">
        <f>SUM(H481:H492)</f>
        <v>0</v>
      </c>
      <c r="I480" s="469">
        <f>SUM(I481:I492)</f>
        <v>2020.82</v>
      </c>
      <c r="J480" s="469">
        <f>SUM(J481:J492)</f>
        <v>81218.80797</v>
      </c>
      <c r="K480" s="469">
        <f>SUM(K481:K492)</f>
        <v>0</v>
      </c>
      <c r="L480" s="470"/>
      <c r="M480" s="104"/>
    </row>
    <row r="481" spans="1:13" s="471" customFormat="1" ht="27" customHeight="1">
      <c r="A481" s="454"/>
      <c r="B481" s="455"/>
      <c r="C481" s="467"/>
      <c r="D481" s="472"/>
      <c r="E481" s="473">
        <f t="shared" si="79"/>
        <v>18789.461</v>
      </c>
      <c r="F481" s="474">
        <f>13489.795+941.205</f>
        <v>14431</v>
      </c>
      <c r="G481" s="474">
        <f t="shared" si="84"/>
        <v>0</v>
      </c>
      <c r="H481" s="474"/>
      <c r="I481" s="474"/>
      <c r="J481" s="474">
        <v>4358.461</v>
      </c>
      <c r="K481" s="474">
        <v>0</v>
      </c>
      <c r="L481" s="475" t="s">
        <v>324</v>
      </c>
      <c r="M481" s="104"/>
    </row>
    <row r="482" spans="1:13" s="471" customFormat="1" ht="27" customHeight="1">
      <c r="A482" s="454"/>
      <c r="B482" s="455"/>
      <c r="C482" s="467"/>
      <c r="D482" s="472"/>
      <c r="E482" s="473">
        <f t="shared" si="79"/>
        <v>6929.08202</v>
      </c>
      <c r="F482" s="474"/>
      <c r="G482" s="474">
        <f t="shared" si="84"/>
        <v>0</v>
      </c>
      <c r="H482" s="474"/>
      <c r="I482" s="474"/>
      <c r="J482" s="474">
        <v>6929.08202</v>
      </c>
      <c r="K482" s="474">
        <v>0</v>
      </c>
      <c r="L482" s="475" t="s">
        <v>325</v>
      </c>
      <c r="M482" s="104"/>
    </row>
    <row r="483" spans="1:13" s="471" customFormat="1" ht="27" customHeight="1">
      <c r="A483" s="454"/>
      <c r="B483" s="455"/>
      <c r="C483" s="467"/>
      <c r="D483" s="476"/>
      <c r="E483" s="477">
        <f t="shared" si="79"/>
        <v>36955.33117</v>
      </c>
      <c r="F483" s="478">
        <f>28778.975+1856.883</f>
        <v>30635.858</v>
      </c>
      <c r="G483" s="478">
        <f t="shared" si="84"/>
        <v>0</v>
      </c>
      <c r="H483" s="478"/>
      <c r="I483" s="478"/>
      <c r="J483" s="478">
        <f>6319.47317</f>
        <v>6319.47317</v>
      </c>
      <c r="K483" s="478">
        <v>0</v>
      </c>
      <c r="L483" s="475" t="s">
        <v>326</v>
      </c>
      <c r="M483" s="104"/>
    </row>
    <row r="484" spans="1:13" s="471" customFormat="1" ht="27" customHeight="1">
      <c r="A484" s="454"/>
      <c r="B484" s="455"/>
      <c r="C484" s="467"/>
      <c r="D484" s="476"/>
      <c r="E484" s="477">
        <f t="shared" si="79"/>
        <v>14706.12309</v>
      </c>
      <c r="F484" s="478"/>
      <c r="G484" s="478">
        <f t="shared" si="84"/>
        <v>0</v>
      </c>
      <c r="H484" s="478"/>
      <c r="I484" s="478"/>
      <c r="J484" s="478">
        <v>14706.12309</v>
      </c>
      <c r="K484" s="478">
        <v>0</v>
      </c>
      <c r="L484" s="475" t="s">
        <v>327</v>
      </c>
      <c r="M484" s="104"/>
    </row>
    <row r="485" spans="1:13" s="471" customFormat="1" ht="27" customHeight="1">
      <c r="A485" s="454"/>
      <c r="B485" s="455"/>
      <c r="C485" s="467"/>
      <c r="D485" s="476"/>
      <c r="E485" s="477">
        <f t="shared" si="79"/>
        <v>22442.943</v>
      </c>
      <c r="F485" s="478">
        <f>14843.739+873.053</f>
        <v>15716.792</v>
      </c>
      <c r="G485" s="478">
        <f t="shared" si="84"/>
        <v>0</v>
      </c>
      <c r="H485" s="478"/>
      <c r="I485" s="478"/>
      <c r="J485" s="478">
        <v>6726.151</v>
      </c>
      <c r="K485" s="478">
        <v>0</v>
      </c>
      <c r="L485" s="475" t="s">
        <v>328</v>
      </c>
      <c r="M485" s="104"/>
    </row>
    <row r="486" spans="1:13" s="471" customFormat="1" ht="27" customHeight="1">
      <c r="A486" s="454"/>
      <c r="B486" s="455"/>
      <c r="C486" s="467"/>
      <c r="D486" s="476"/>
      <c r="E486" s="477">
        <f t="shared" si="79"/>
        <v>7261.42499</v>
      </c>
      <c r="F486" s="478"/>
      <c r="G486" s="478">
        <f t="shared" si="84"/>
        <v>0</v>
      </c>
      <c r="H486" s="478"/>
      <c r="I486" s="478"/>
      <c r="J486" s="478">
        <v>7261.42499</v>
      </c>
      <c r="K486" s="478">
        <v>0</v>
      </c>
      <c r="L486" s="475" t="s">
        <v>329</v>
      </c>
      <c r="M486" s="104"/>
    </row>
    <row r="487" spans="1:13" s="471" customFormat="1" ht="27" customHeight="1">
      <c r="A487" s="454"/>
      <c r="B487" s="455"/>
      <c r="C487" s="467"/>
      <c r="D487" s="476"/>
      <c r="E487" s="477">
        <f t="shared" si="79"/>
        <v>54099.38432</v>
      </c>
      <c r="F487" s="478">
        <f>43363.554+2969.256</f>
        <v>46332.81</v>
      </c>
      <c r="G487" s="478">
        <f t="shared" si="84"/>
        <v>0</v>
      </c>
      <c r="H487" s="478"/>
      <c r="I487" s="478"/>
      <c r="J487" s="478">
        <v>7766.57432</v>
      </c>
      <c r="K487" s="478">
        <v>0</v>
      </c>
      <c r="L487" s="479" t="s">
        <v>94</v>
      </c>
      <c r="M487" s="104"/>
    </row>
    <row r="488" spans="1:13" s="471" customFormat="1" ht="27" customHeight="1">
      <c r="A488" s="454"/>
      <c r="B488" s="455"/>
      <c r="C488" s="467"/>
      <c r="D488" s="476"/>
      <c r="E488" s="477">
        <f t="shared" si="79"/>
        <v>59314.28239000001</v>
      </c>
      <c r="F488" s="478">
        <f>46932.581+3065.959</f>
        <v>49998.54</v>
      </c>
      <c r="G488" s="478">
        <f t="shared" si="84"/>
        <v>114.3</v>
      </c>
      <c r="H488" s="478"/>
      <c r="I488" s="478">
        <v>114.3</v>
      </c>
      <c r="J488" s="478">
        <v>9201.44239</v>
      </c>
      <c r="K488" s="478">
        <v>0</v>
      </c>
      <c r="L488" s="479" t="s">
        <v>96</v>
      </c>
      <c r="M488" s="104"/>
    </row>
    <row r="489" spans="1:13" s="471" customFormat="1" ht="27" customHeight="1">
      <c r="A489" s="454"/>
      <c r="B489" s="455"/>
      <c r="C489" s="467"/>
      <c r="D489" s="476"/>
      <c r="E489" s="477">
        <f t="shared" si="79"/>
        <v>5533.60064</v>
      </c>
      <c r="F489" s="478">
        <v>0</v>
      </c>
      <c r="G489" s="478">
        <f t="shared" si="84"/>
        <v>0</v>
      </c>
      <c r="H489" s="478"/>
      <c r="I489" s="478"/>
      <c r="J489" s="478">
        <v>5533.60064</v>
      </c>
      <c r="K489" s="478">
        <v>0</v>
      </c>
      <c r="L489" s="479" t="s">
        <v>330</v>
      </c>
      <c r="M489" s="104"/>
    </row>
    <row r="490" spans="1:13" s="471" customFormat="1" ht="27" customHeight="1">
      <c r="A490" s="454"/>
      <c r="B490" s="455"/>
      <c r="C490" s="467"/>
      <c r="D490" s="476"/>
      <c r="E490" s="477">
        <f t="shared" si="79"/>
        <v>6211.79449</v>
      </c>
      <c r="F490" s="478">
        <v>0</v>
      </c>
      <c r="G490" s="478">
        <f t="shared" si="84"/>
        <v>0</v>
      </c>
      <c r="H490" s="478"/>
      <c r="I490" s="478"/>
      <c r="J490" s="478">
        <v>6211.79449</v>
      </c>
      <c r="K490" s="478"/>
      <c r="L490" s="479" t="s">
        <v>316</v>
      </c>
      <c r="M490" s="104"/>
    </row>
    <row r="491" spans="1:13" s="471" customFormat="1" ht="27" customHeight="1">
      <c r="A491" s="454"/>
      <c r="B491" s="455"/>
      <c r="C491" s="467"/>
      <c r="D491" s="476"/>
      <c r="E491" s="477">
        <f t="shared" si="79"/>
        <v>283.43056</v>
      </c>
      <c r="F491" s="478">
        <v>0</v>
      </c>
      <c r="G491" s="478">
        <f t="shared" si="84"/>
        <v>0</v>
      </c>
      <c r="H491" s="478"/>
      <c r="I491" s="478"/>
      <c r="J491" s="478">
        <v>283.43056</v>
      </c>
      <c r="K491" s="478"/>
      <c r="L491" s="479" t="s">
        <v>322</v>
      </c>
      <c r="M491" s="104"/>
    </row>
    <row r="492" spans="1:13" s="471" customFormat="1" ht="31.5" customHeight="1">
      <c r="A492" s="454"/>
      <c r="B492" s="455"/>
      <c r="C492" s="480"/>
      <c r="D492" s="481"/>
      <c r="E492" s="482">
        <f t="shared" si="79"/>
        <v>7827.7703</v>
      </c>
      <c r="F492" s="483">
        <v>0</v>
      </c>
      <c r="G492" s="483">
        <f t="shared" si="84"/>
        <v>1906.52</v>
      </c>
      <c r="H492" s="483"/>
      <c r="I492" s="483">
        <v>1906.52</v>
      </c>
      <c r="J492" s="483">
        <v>5921.2503</v>
      </c>
      <c r="K492" s="483">
        <v>0</v>
      </c>
      <c r="L492" s="484" t="s">
        <v>323</v>
      </c>
      <c r="M492" s="104"/>
    </row>
    <row r="493" spans="1:13" s="471" customFormat="1" ht="27.75" customHeight="1">
      <c r="A493" s="454"/>
      <c r="B493" s="455"/>
      <c r="C493" s="485"/>
      <c r="D493" s="486">
        <v>2022</v>
      </c>
      <c r="E493" s="487">
        <f>SUM(E494:E505)</f>
        <v>245650.455</v>
      </c>
      <c r="F493" s="469">
        <f>SUM(F494:F505)</f>
        <v>160491.99999999997</v>
      </c>
      <c r="G493" s="469">
        <f>SUM(G494:G505)</f>
        <v>1710.5</v>
      </c>
      <c r="H493" s="469">
        <f>SUM(H494:H505)</f>
        <v>0</v>
      </c>
      <c r="I493" s="469">
        <f>SUM(I494:I505)</f>
        <v>1710.5</v>
      </c>
      <c r="J493" s="469">
        <f>SUM(J494:J505)</f>
        <v>83447.95500000002</v>
      </c>
      <c r="K493" s="469">
        <f>SUM(K494:K505)</f>
        <v>0</v>
      </c>
      <c r="L493" s="488"/>
      <c r="M493" s="104"/>
    </row>
    <row r="494" spans="1:13" s="471" customFormat="1" ht="27" customHeight="1">
      <c r="A494" s="454"/>
      <c r="B494" s="455"/>
      <c r="C494" s="489"/>
      <c r="D494" s="490"/>
      <c r="E494" s="491">
        <f aca="true" t="shared" si="85" ref="E494:E531">F494+G494+J494+K494</f>
        <v>18163.593</v>
      </c>
      <c r="F494" s="474">
        <f>13253.673+409.907</f>
        <v>13663.58</v>
      </c>
      <c r="G494" s="474">
        <f aca="true" t="shared" si="86" ref="G494:G505">H494+I494</f>
        <v>0</v>
      </c>
      <c r="H494" s="474"/>
      <c r="I494" s="474"/>
      <c r="J494" s="132">
        <v>4500.013</v>
      </c>
      <c r="K494" s="474">
        <v>0</v>
      </c>
      <c r="L494" s="492" t="s">
        <v>324</v>
      </c>
      <c r="M494" s="104"/>
    </row>
    <row r="495" spans="1:13" s="471" customFormat="1" ht="27" customHeight="1">
      <c r="A495" s="454"/>
      <c r="B495" s="455"/>
      <c r="C495" s="489"/>
      <c r="D495" s="490"/>
      <c r="E495" s="491">
        <f t="shared" si="85"/>
        <v>7076.013</v>
      </c>
      <c r="F495" s="474"/>
      <c r="G495" s="474">
        <f t="shared" si="86"/>
        <v>0</v>
      </c>
      <c r="H495" s="474"/>
      <c r="I495" s="474"/>
      <c r="J495" s="132">
        <v>7076.013</v>
      </c>
      <c r="K495" s="474"/>
      <c r="L495" s="492" t="s">
        <v>325</v>
      </c>
      <c r="M495" s="104"/>
    </row>
    <row r="496" spans="1:13" s="471" customFormat="1" ht="27" customHeight="1">
      <c r="A496" s="454"/>
      <c r="B496" s="455"/>
      <c r="C496" s="489"/>
      <c r="D496" s="490"/>
      <c r="E496" s="493">
        <f t="shared" si="85"/>
        <v>43470.046</v>
      </c>
      <c r="F496" s="478">
        <f>34556.538+1068.759</f>
        <v>35625.297</v>
      </c>
      <c r="G496" s="478">
        <f t="shared" si="86"/>
        <v>0</v>
      </c>
      <c r="H496" s="478"/>
      <c r="I496" s="478"/>
      <c r="J496" s="80">
        <v>7844.749</v>
      </c>
      <c r="K496" s="478">
        <v>0</v>
      </c>
      <c r="L496" s="492" t="s">
        <v>326</v>
      </c>
      <c r="M496" s="104"/>
    </row>
    <row r="497" spans="1:13" s="471" customFormat="1" ht="27" customHeight="1">
      <c r="A497" s="454"/>
      <c r="B497" s="455"/>
      <c r="C497" s="489"/>
      <c r="D497" s="490"/>
      <c r="E497" s="493">
        <f t="shared" si="85"/>
        <v>15005.913</v>
      </c>
      <c r="F497" s="478"/>
      <c r="G497" s="478">
        <f t="shared" si="86"/>
        <v>0</v>
      </c>
      <c r="H497" s="478"/>
      <c r="I497" s="478"/>
      <c r="J497" s="80">
        <v>15005.913</v>
      </c>
      <c r="K497" s="478"/>
      <c r="L497" s="492" t="s">
        <v>327</v>
      </c>
      <c r="M497" s="104"/>
    </row>
    <row r="498" spans="1:13" s="496" customFormat="1" ht="27" customHeight="1">
      <c r="A498" s="454"/>
      <c r="B498" s="455"/>
      <c r="C498" s="489"/>
      <c r="D498" s="490"/>
      <c r="E498" s="494">
        <f t="shared" si="85"/>
        <v>22237.343</v>
      </c>
      <c r="F498" s="495">
        <f>14310.333+442.587</f>
        <v>14752.92</v>
      </c>
      <c r="G498" s="495">
        <f t="shared" si="86"/>
        <v>0</v>
      </c>
      <c r="H498" s="495"/>
      <c r="I498" s="495"/>
      <c r="J498" s="100">
        <v>7484.423</v>
      </c>
      <c r="K498" s="495">
        <v>0</v>
      </c>
      <c r="L498" s="492" t="s">
        <v>328</v>
      </c>
      <c r="M498" s="104"/>
    </row>
    <row r="499" spans="1:13" s="496" customFormat="1" ht="27" customHeight="1">
      <c r="A499" s="454"/>
      <c r="B499" s="455"/>
      <c r="C499" s="489"/>
      <c r="D499" s="490"/>
      <c r="E499" s="494">
        <f t="shared" si="85"/>
        <v>7395.14</v>
      </c>
      <c r="F499" s="495"/>
      <c r="G499" s="495">
        <f t="shared" si="86"/>
        <v>0</v>
      </c>
      <c r="H499" s="495"/>
      <c r="I499" s="495"/>
      <c r="J499" s="100">
        <v>7395.14</v>
      </c>
      <c r="K499" s="495"/>
      <c r="L499" s="492" t="s">
        <v>329</v>
      </c>
      <c r="M499" s="104"/>
    </row>
    <row r="500" spans="1:13" s="471" customFormat="1" ht="27" customHeight="1">
      <c r="A500" s="454"/>
      <c r="B500" s="455"/>
      <c r="C500" s="489"/>
      <c r="D500" s="490"/>
      <c r="E500" s="493">
        <f t="shared" si="85"/>
        <v>55643.846</v>
      </c>
      <c r="F500" s="478">
        <f>46455.104+2206.52</f>
        <v>48661.623999999996</v>
      </c>
      <c r="G500" s="478">
        <f t="shared" si="86"/>
        <v>0</v>
      </c>
      <c r="H500" s="478"/>
      <c r="I500" s="478"/>
      <c r="J500" s="80">
        <v>6982.222</v>
      </c>
      <c r="K500" s="478">
        <v>0</v>
      </c>
      <c r="L500" s="497" t="s">
        <v>94</v>
      </c>
      <c r="M500" s="104"/>
    </row>
    <row r="501" spans="1:13" s="471" customFormat="1" ht="27" customHeight="1">
      <c r="A501" s="454"/>
      <c r="B501" s="455"/>
      <c r="C501" s="489"/>
      <c r="D501" s="490"/>
      <c r="E501" s="493">
        <f t="shared" si="85"/>
        <v>56438.481</v>
      </c>
      <c r="F501" s="478">
        <f>45563.619+2224.96</f>
        <v>47788.579</v>
      </c>
      <c r="G501" s="478">
        <f t="shared" si="86"/>
        <v>0</v>
      </c>
      <c r="H501" s="478"/>
      <c r="I501" s="478"/>
      <c r="J501" s="80">
        <v>8649.902</v>
      </c>
      <c r="K501" s="478">
        <v>0</v>
      </c>
      <c r="L501" s="497" t="s">
        <v>96</v>
      </c>
      <c r="M501" s="104"/>
    </row>
    <row r="502" spans="1:13" s="471" customFormat="1" ht="27" customHeight="1">
      <c r="A502" s="454"/>
      <c r="B502" s="455"/>
      <c r="C502" s="489"/>
      <c r="D502" s="490"/>
      <c r="E502" s="493">
        <f t="shared" si="85"/>
        <v>5493.4</v>
      </c>
      <c r="F502" s="478">
        <v>0</v>
      </c>
      <c r="G502" s="478">
        <f t="shared" si="86"/>
        <v>0</v>
      </c>
      <c r="H502" s="478"/>
      <c r="I502" s="478"/>
      <c r="J502" s="80">
        <v>5493.4</v>
      </c>
      <c r="K502" s="478">
        <v>0</v>
      </c>
      <c r="L502" s="497" t="s">
        <v>331</v>
      </c>
      <c r="M502" s="104"/>
    </row>
    <row r="503" spans="1:13" s="471" customFormat="1" ht="27" customHeight="1">
      <c r="A503" s="454"/>
      <c r="B503" s="455"/>
      <c r="C503" s="489"/>
      <c r="D503" s="490"/>
      <c r="E503" s="493">
        <f t="shared" si="85"/>
        <v>6838.22</v>
      </c>
      <c r="F503" s="478">
        <v>0</v>
      </c>
      <c r="G503" s="478">
        <f t="shared" si="86"/>
        <v>0</v>
      </c>
      <c r="H503" s="478"/>
      <c r="I503" s="478"/>
      <c r="J503" s="80">
        <v>6838.22</v>
      </c>
      <c r="K503" s="478">
        <v>0</v>
      </c>
      <c r="L503" s="497" t="s">
        <v>316</v>
      </c>
      <c r="M503" s="104"/>
    </row>
    <row r="504" spans="1:13" s="471" customFormat="1" ht="27" customHeight="1">
      <c r="A504" s="454"/>
      <c r="B504" s="455"/>
      <c r="C504" s="498"/>
      <c r="D504" s="490"/>
      <c r="E504" s="493">
        <f t="shared" si="85"/>
        <v>255.6</v>
      </c>
      <c r="F504" s="478">
        <v>0</v>
      </c>
      <c r="G504" s="478">
        <f t="shared" si="86"/>
        <v>0</v>
      </c>
      <c r="H504" s="478"/>
      <c r="I504" s="478"/>
      <c r="J504" s="80">
        <v>255.6</v>
      </c>
      <c r="K504" s="478">
        <v>0</v>
      </c>
      <c r="L504" s="497" t="s">
        <v>332</v>
      </c>
      <c r="M504" s="104"/>
    </row>
    <row r="505" spans="1:13" s="471" customFormat="1" ht="27" customHeight="1">
      <c r="A505" s="454"/>
      <c r="B505" s="455"/>
      <c r="C505" s="499"/>
      <c r="D505" s="500"/>
      <c r="E505" s="501">
        <f t="shared" si="85"/>
        <v>7632.86</v>
      </c>
      <c r="F505" s="502">
        <v>0</v>
      </c>
      <c r="G505" s="502">
        <f t="shared" si="86"/>
        <v>1710.5</v>
      </c>
      <c r="H505" s="502"/>
      <c r="I505" s="502">
        <v>1710.5</v>
      </c>
      <c r="J505" s="136">
        <v>5922.36</v>
      </c>
      <c r="K505" s="502">
        <v>0</v>
      </c>
      <c r="L505" s="503" t="s">
        <v>323</v>
      </c>
      <c r="M505" s="104"/>
    </row>
    <row r="506" spans="1:13" s="471" customFormat="1" ht="27" customHeight="1">
      <c r="A506" s="454"/>
      <c r="B506" s="455"/>
      <c r="C506" s="504"/>
      <c r="D506" s="505">
        <v>2023</v>
      </c>
      <c r="E506" s="506">
        <f t="shared" si="85"/>
        <v>245402.28100000002</v>
      </c>
      <c r="F506" s="507">
        <f>SUM(F507:F518)</f>
        <v>160562</v>
      </c>
      <c r="G506" s="507">
        <f>SUM(G507:G518)</f>
        <v>1710.5</v>
      </c>
      <c r="H506" s="507">
        <f>SUM(H507:H518)</f>
        <v>0</v>
      </c>
      <c r="I506" s="507">
        <f>SUM(I507:I518)</f>
        <v>1710.5</v>
      </c>
      <c r="J506" s="507">
        <f>SUM(J507:J518)</f>
        <v>83129.781</v>
      </c>
      <c r="K506" s="508">
        <f>SUM(K507:K518)</f>
        <v>0</v>
      </c>
      <c r="L506" s="509"/>
      <c r="M506" s="510"/>
    </row>
    <row r="507" spans="1:13" s="471" customFormat="1" ht="27" customHeight="1">
      <c r="A507" s="454"/>
      <c r="B507" s="455"/>
      <c r="C507" s="467"/>
      <c r="D507" s="472"/>
      <c r="E507" s="473">
        <f t="shared" si="85"/>
        <v>18688.28</v>
      </c>
      <c r="F507" s="474">
        <f>13598.5+420.5</f>
        <v>14019</v>
      </c>
      <c r="G507" s="474">
        <f aca="true" t="shared" si="87" ref="G507:G518">H507+I507</f>
        <v>0</v>
      </c>
      <c r="H507" s="474"/>
      <c r="I507" s="474"/>
      <c r="J507" s="474">
        <v>4669.28</v>
      </c>
      <c r="K507" s="474">
        <v>0</v>
      </c>
      <c r="L507" s="475" t="s">
        <v>324</v>
      </c>
      <c r="M507" s="510"/>
    </row>
    <row r="508" spans="1:13" s="471" customFormat="1" ht="27" customHeight="1">
      <c r="A508" s="454"/>
      <c r="B508" s="455"/>
      <c r="C508" s="467"/>
      <c r="D508" s="472"/>
      <c r="E508" s="473">
        <f t="shared" si="85"/>
        <v>6798.882</v>
      </c>
      <c r="F508" s="474"/>
      <c r="G508" s="474">
        <f t="shared" si="87"/>
        <v>0</v>
      </c>
      <c r="H508" s="474"/>
      <c r="I508" s="474"/>
      <c r="J508" s="474">
        <v>6798.882</v>
      </c>
      <c r="K508" s="474"/>
      <c r="L508" s="475" t="s">
        <v>325</v>
      </c>
      <c r="M508" s="510"/>
    </row>
    <row r="509" spans="1:13" s="471" customFormat="1" ht="27" customHeight="1">
      <c r="A509" s="454"/>
      <c r="B509" s="455"/>
      <c r="C509" s="467"/>
      <c r="D509" s="476"/>
      <c r="E509" s="473">
        <f t="shared" si="85"/>
        <v>43316.252</v>
      </c>
      <c r="F509" s="478">
        <f>34321.5+1061.5</f>
        <v>35383</v>
      </c>
      <c r="G509" s="474">
        <f t="shared" si="87"/>
        <v>0</v>
      </c>
      <c r="H509" s="478"/>
      <c r="I509" s="478"/>
      <c r="J509" s="478">
        <v>7933.252</v>
      </c>
      <c r="K509" s="478">
        <v>0</v>
      </c>
      <c r="L509" s="475" t="s">
        <v>326</v>
      </c>
      <c r="M509" s="510"/>
    </row>
    <row r="510" spans="1:13" s="471" customFormat="1" ht="27" customHeight="1">
      <c r="A510" s="454"/>
      <c r="B510" s="455"/>
      <c r="C510" s="467"/>
      <c r="D510" s="476"/>
      <c r="E510" s="473">
        <f t="shared" si="85"/>
        <v>14393.647</v>
      </c>
      <c r="F510" s="478"/>
      <c r="G510" s="474">
        <f t="shared" si="87"/>
        <v>0</v>
      </c>
      <c r="H510" s="478"/>
      <c r="I510" s="478"/>
      <c r="J510" s="478">
        <v>14393.647</v>
      </c>
      <c r="K510" s="478"/>
      <c r="L510" s="475" t="s">
        <v>327</v>
      </c>
      <c r="M510" s="510"/>
    </row>
    <row r="511" spans="1:13" s="471" customFormat="1" ht="27" customHeight="1">
      <c r="A511" s="454"/>
      <c r="B511" s="455"/>
      <c r="C511" s="467"/>
      <c r="D511" s="476"/>
      <c r="E511" s="473">
        <f t="shared" si="85"/>
        <v>21945.271</v>
      </c>
      <c r="F511" s="478">
        <f>14083.1+435.5</f>
        <v>14518.6</v>
      </c>
      <c r="G511" s="474">
        <f t="shared" si="87"/>
        <v>0</v>
      </c>
      <c r="H511" s="478"/>
      <c r="I511" s="478"/>
      <c r="J511" s="478">
        <v>7426.671</v>
      </c>
      <c r="K511" s="478">
        <v>0</v>
      </c>
      <c r="L511" s="475" t="s">
        <v>328</v>
      </c>
      <c r="M511" s="510"/>
    </row>
    <row r="512" spans="1:13" s="471" customFormat="1" ht="27" customHeight="1">
      <c r="A512" s="454"/>
      <c r="B512" s="455"/>
      <c r="C512" s="467"/>
      <c r="D512" s="476"/>
      <c r="E512" s="473">
        <f t="shared" si="85"/>
        <v>7098.675</v>
      </c>
      <c r="F512" s="478"/>
      <c r="G512" s="474">
        <f t="shared" si="87"/>
        <v>0</v>
      </c>
      <c r="H512" s="478"/>
      <c r="I512" s="478"/>
      <c r="J512" s="478">
        <v>7098.675</v>
      </c>
      <c r="K512" s="478"/>
      <c r="L512" s="475" t="s">
        <v>329</v>
      </c>
      <c r="M512" s="510"/>
    </row>
    <row r="513" spans="1:13" s="471" customFormat="1" ht="27" customHeight="1">
      <c r="A513" s="454"/>
      <c r="B513" s="455"/>
      <c r="C513" s="467"/>
      <c r="D513" s="476"/>
      <c r="E513" s="477">
        <f t="shared" si="85"/>
        <v>56688.375</v>
      </c>
      <c r="F513" s="478">
        <f>47300.9+1903.7</f>
        <v>49204.6</v>
      </c>
      <c r="G513" s="478">
        <f t="shared" si="87"/>
        <v>0</v>
      </c>
      <c r="H513" s="478"/>
      <c r="I513" s="478"/>
      <c r="J513" s="478">
        <v>7483.775</v>
      </c>
      <c r="K513" s="478">
        <v>0</v>
      </c>
      <c r="L513" s="511" t="s">
        <v>94</v>
      </c>
      <c r="M513" s="510"/>
    </row>
    <row r="514" spans="1:13" s="471" customFormat="1" ht="27" customHeight="1">
      <c r="A514" s="454"/>
      <c r="B514" s="455"/>
      <c r="C514" s="467"/>
      <c r="D514" s="476"/>
      <c r="E514" s="477">
        <f t="shared" si="85"/>
        <v>57600.802</v>
      </c>
      <c r="F514" s="478">
        <f>45703.8+1733</f>
        <v>47436.8</v>
      </c>
      <c r="G514" s="478">
        <f t="shared" si="87"/>
        <v>0</v>
      </c>
      <c r="H514" s="478"/>
      <c r="I514" s="478"/>
      <c r="J514" s="478">
        <v>10164.002</v>
      </c>
      <c r="K514" s="478">
        <v>0</v>
      </c>
      <c r="L514" s="511" t="s">
        <v>96</v>
      </c>
      <c r="M514" s="510"/>
    </row>
    <row r="515" spans="1:13" s="471" customFormat="1" ht="27" customHeight="1">
      <c r="A515" s="454"/>
      <c r="B515" s="455"/>
      <c r="C515" s="467"/>
      <c r="D515" s="476"/>
      <c r="E515" s="477">
        <f t="shared" si="85"/>
        <v>4925.242</v>
      </c>
      <c r="F515" s="478">
        <v>0</v>
      </c>
      <c r="G515" s="478">
        <f t="shared" si="87"/>
        <v>0</v>
      </c>
      <c r="H515" s="478"/>
      <c r="I515" s="478"/>
      <c r="J515" s="478">
        <v>4925.242</v>
      </c>
      <c r="K515" s="478">
        <v>0</v>
      </c>
      <c r="L515" s="511" t="s">
        <v>333</v>
      </c>
      <c r="M515" s="510"/>
    </row>
    <row r="516" spans="1:13" s="471" customFormat="1" ht="27" customHeight="1">
      <c r="A516" s="454"/>
      <c r="B516" s="455"/>
      <c r="C516" s="467"/>
      <c r="D516" s="476"/>
      <c r="E516" s="477">
        <f t="shared" si="85"/>
        <v>6105.125</v>
      </c>
      <c r="F516" s="478">
        <v>0</v>
      </c>
      <c r="G516" s="478">
        <f t="shared" si="87"/>
        <v>0</v>
      </c>
      <c r="H516" s="478"/>
      <c r="I516" s="478"/>
      <c r="J516" s="478">
        <v>6105.125</v>
      </c>
      <c r="K516" s="478">
        <v>0</v>
      </c>
      <c r="L516" s="511" t="s">
        <v>316</v>
      </c>
      <c r="M516" s="510"/>
    </row>
    <row r="517" spans="1:13" s="471" customFormat="1" ht="27" customHeight="1">
      <c r="A517" s="454"/>
      <c r="B517" s="455"/>
      <c r="C517" s="480"/>
      <c r="D517" s="481"/>
      <c r="E517" s="482">
        <f t="shared" si="85"/>
        <v>208.87</v>
      </c>
      <c r="F517" s="483">
        <v>0</v>
      </c>
      <c r="G517" s="483">
        <f t="shared" si="87"/>
        <v>0</v>
      </c>
      <c r="H517" s="483"/>
      <c r="I517" s="483"/>
      <c r="J517" s="483">
        <v>208.87</v>
      </c>
      <c r="K517" s="483">
        <v>0</v>
      </c>
      <c r="L517" s="512" t="s">
        <v>334</v>
      </c>
      <c r="M517" s="510"/>
    </row>
    <row r="518" spans="1:13" s="471" customFormat="1" ht="27" customHeight="1">
      <c r="A518" s="454"/>
      <c r="B518" s="455"/>
      <c r="C518" s="513"/>
      <c r="D518" s="514"/>
      <c r="E518" s="482">
        <f t="shared" si="85"/>
        <v>7632.86</v>
      </c>
      <c r="F518" s="483">
        <v>0</v>
      </c>
      <c r="G518" s="483">
        <f t="shared" si="87"/>
        <v>1710.5</v>
      </c>
      <c r="H518" s="483"/>
      <c r="I518" s="483">
        <v>1710.5</v>
      </c>
      <c r="J518" s="483">
        <v>5922.36</v>
      </c>
      <c r="K518" s="483">
        <v>0</v>
      </c>
      <c r="L518" s="515" t="s">
        <v>323</v>
      </c>
      <c r="M518" s="510"/>
    </row>
    <row r="519" spans="1:13" s="471" customFormat="1" ht="27" customHeight="1">
      <c r="A519" s="516"/>
      <c r="B519" s="517" t="s">
        <v>335</v>
      </c>
      <c r="C519" s="518"/>
      <c r="D519" s="486">
        <v>2024</v>
      </c>
      <c r="E519" s="519">
        <f t="shared" si="85"/>
        <v>245386.781</v>
      </c>
      <c r="F519" s="519">
        <f>SUM(F520:F531)</f>
        <v>160562</v>
      </c>
      <c r="G519" s="519">
        <f>SUM(G520:G531)</f>
        <v>1710.5</v>
      </c>
      <c r="H519" s="519">
        <f>SUM(H520:H531)</f>
        <v>0</v>
      </c>
      <c r="I519" s="519">
        <f>SUM(I520:I531)</f>
        <v>1710.5</v>
      </c>
      <c r="J519" s="519">
        <f>SUM(J520:J531)</f>
        <v>83114.28099999999</v>
      </c>
      <c r="K519" s="520">
        <f>SUM(K520:K531)</f>
        <v>0</v>
      </c>
      <c r="L519" s="521"/>
      <c r="M519" s="522"/>
    </row>
    <row r="520" spans="1:13" s="471" customFormat="1" ht="27" customHeight="1">
      <c r="A520" s="516"/>
      <c r="B520" s="517"/>
      <c r="C520" s="523"/>
      <c r="D520" s="524"/>
      <c r="E520" s="473">
        <f t="shared" si="85"/>
        <v>18772.98</v>
      </c>
      <c r="F520" s="474">
        <f>13598.5+420.5</f>
        <v>14019</v>
      </c>
      <c r="G520" s="474">
        <f aca="true" t="shared" si="88" ref="G520:G531">H520+I520</f>
        <v>0</v>
      </c>
      <c r="H520" s="474"/>
      <c r="I520" s="474"/>
      <c r="J520" s="474">
        <v>4753.98</v>
      </c>
      <c r="K520" s="474">
        <v>0</v>
      </c>
      <c r="L520" s="492" t="s">
        <v>324</v>
      </c>
      <c r="M520" s="522"/>
    </row>
    <row r="521" spans="1:13" s="471" customFormat="1" ht="27" customHeight="1">
      <c r="A521" s="516"/>
      <c r="B521" s="517"/>
      <c r="C521" s="523"/>
      <c r="D521" s="524"/>
      <c r="E521" s="473">
        <f t="shared" si="85"/>
        <v>6798.882</v>
      </c>
      <c r="F521" s="474"/>
      <c r="G521" s="474">
        <f t="shared" si="88"/>
        <v>0</v>
      </c>
      <c r="H521" s="474"/>
      <c r="I521" s="474"/>
      <c r="J521" s="474">
        <v>6798.882</v>
      </c>
      <c r="K521" s="474"/>
      <c r="L521" s="492" t="s">
        <v>325</v>
      </c>
      <c r="M521" s="522"/>
    </row>
    <row r="522" spans="1:13" s="471" customFormat="1" ht="27" customHeight="1">
      <c r="A522" s="516"/>
      <c r="B522" s="517"/>
      <c r="C522" s="523"/>
      <c r="D522" s="524"/>
      <c r="E522" s="473">
        <f t="shared" si="85"/>
        <v>43231.551999999996</v>
      </c>
      <c r="F522" s="478">
        <f>34321.5+1061.5</f>
        <v>35383</v>
      </c>
      <c r="G522" s="474">
        <f t="shared" si="88"/>
        <v>0</v>
      </c>
      <c r="H522" s="478"/>
      <c r="I522" s="478"/>
      <c r="J522" s="478">
        <v>7848.552</v>
      </c>
      <c r="K522" s="478">
        <v>0</v>
      </c>
      <c r="L522" s="492" t="s">
        <v>326</v>
      </c>
      <c r="M522" s="522"/>
    </row>
    <row r="523" spans="1:13" s="471" customFormat="1" ht="27" customHeight="1">
      <c r="A523" s="516"/>
      <c r="B523" s="517"/>
      <c r="C523" s="523"/>
      <c r="D523" s="524"/>
      <c r="E523" s="473">
        <f t="shared" si="85"/>
        <v>14393.647</v>
      </c>
      <c r="F523" s="478"/>
      <c r="G523" s="474">
        <f t="shared" si="88"/>
        <v>0</v>
      </c>
      <c r="H523" s="478"/>
      <c r="I523" s="478"/>
      <c r="J523" s="478">
        <v>14393.647</v>
      </c>
      <c r="K523" s="478"/>
      <c r="L523" s="492" t="s">
        <v>327</v>
      </c>
      <c r="M523" s="522"/>
    </row>
    <row r="524" spans="1:13" s="471" customFormat="1" ht="27" customHeight="1">
      <c r="A524" s="516"/>
      <c r="B524" s="517"/>
      <c r="C524" s="523"/>
      <c r="D524" s="524"/>
      <c r="E524" s="473">
        <f t="shared" si="85"/>
        <v>21945.271</v>
      </c>
      <c r="F524" s="478">
        <f>14083.1+435.5</f>
        <v>14518.6</v>
      </c>
      <c r="G524" s="474">
        <f t="shared" si="88"/>
        <v>0</v>
      </c>
      <c r="H524" s="478"/>
      <c r="I524" s="478"/>
      <c r="J524" s="478">
        <v>7426.671</v>
      </c>
      <c r="K524" s="478">
        <v>0</v>
      </c>
      <c r="L524" s="492" t="s">
        <v>328</v>
      </c>
      <c r="M524" s="522"/>
    </row>
    <row r="525" spans="1:13" s="471" customFormat="1" ht="27" customHeight="1">
      <c r="A525" s="516"/>
      <c r="B525" s="517"/>
      <c r="C525" s="523"/>
      <c r="D525" s="524"/>
      <c r="E525" s="473">
        <f t="shared" si="85"/>
        <v>7098.675</v>
      </c>
      <c r="F525" s="478"/>
      <c r="G525" s="474">
        <f t="shared" si="88"/>
        <v>0</v>
      </c>
      <c r="H525" s="478"/>
      <c r="I525" s="478"/>
      <c r="J525" s="478">
        <v>7098.675</v>
      </c>
      <c r="K525" s="478"/>
      <c r="L525" s="492" t="s">
        <v>329</v>
      </c>
      <c r="M525" s="522"/>
    </row>
    <row r="526" spans="1:13" s="471" customFormat="1" ht="27" customHeight="1">
      <c r="A526" s="516"/>
      <c r="B526" s="517"/>
      <c r="C526" s="523"/>
      <c r="D526" s="524"/>
      <c r="E526" s="477">
        <f t="shared" si="85"/>
        <v>56519.375</v>
      </c>
      <c r="F526" s="478">
        <f>47300.9+1903.7</f>
        <v>49204.6</v>
      </c>
      <c r="G526" s="478">
        <f t="shared" si="88"/>
        <v>0</v>
      </c>
      <c r="H526" s="478"/>
      <c r="I526" s="478"/>
      <c r="J526" s="478">
        <v>7314.775</v>
      </c>
      <c r="K526" s="478">
        <v>0</v>
      </c>
      <c r="L526" s="497" t="s">
        <v>94</v>
      </c>
      <c r="M526" s="522"/>
    </row>
    <row r="527" spans="1:13" s="471" customFormat="1" ht="27" customHeight="1">
      <c r="A527" s="516"/>
      <c r="B527" s="517"/>
      <c r="C527" s="523"/>
      <c r="D527" s="524"/>
      <c r="E527" s="477">
        <f t="shared" si="85"/>
        <v>57754.302</v>
      </c>
      <c r="F527" s="478">
        <f>45703.8+1733</f>
        <v>47436.8</v>
      </c>
      <c r="G527" s="478">
        <f t="shared" si="88"/>
        <v>0</v>
      </c>
      <c r="H527" s="478"/>
      <c r="I527" s="478"/>
      <c r="J527" s="478">
        <v>10317.502</v>
      </c>
      <c r="K527" s="478">
        <v>0</v>
      </c>
      <c r="L527" s="497" t="s">
        <v>96</v>
      </c>
      <c r="M527" s="522"/>
    </row>
    <row r="528" spans="1:13" s="471" customFormat="1" ht="27" customHeight="1">
      <c r="A528" s="516"/>
      <c r="B528" s="517"/>
      <c r="C528" s="523"/>
      <c r="D528" s="524"/>
      <c r="E528" s="477">
        <f t="shared" si="85"/>
        <v>4925.242</v>
      </c>
      <c r="F528" s="478">
        <v>0</v>
      </c>
      <c r="G528" s="478">
        <f t="shared" si="88"/>
        <v>0</v>
      </c>
      <c r="H528" s="478"/>
      <c r="I528" s="478"/>
      <c r="J528" s="478">
        <v>4925.242</v>
      </c>
      <c r="K528" s="478">
        <v>0</v>
      </c>
      <c r="L528" s="497" t="s">
        <v>333</v>
      </c>
      <c r="M528" s="522"/>
    </row>
    <row r="529" spans="1:13" s="471" customFormat="1" ht="27" customHeight="1">
      <c r="A529" s="516"/>
      <c r="B529" s="517"/>
      <c r="C529" s="523"/>
      <c r="D529" s="524"/>
      <c r="E529" s="477">
        <f t="shared" si="85"/>
        <v>6105.125</v>
      </c>
      <c r="F529" s="478">
        <v>0</v>
      </c>
      <c r="G529" s="478">
        <f t="shared" si="88"/>
        <v>0</v>
      </c>
      <c r="H529" s="478"/>
      <c r="I529" s="478"/>
      <c r="J529" s="478">
        <v>6105.125</v>
      </c>
      <c r="K529" s="478">
        <v>0</v>
      </c>
      <c r="L529" s="497" t="s">
        <v>316</v>
      </c>
      <c r="M529" s="522"/>
    </row>
    <row r="530" spans="1:13" s="471" customFormat="1" ht="27" customHeight="1">
      <c r="A530" s="516"/>
      <c r="B530" s="517"/>
      <c r="C530" s="525"/>
      <c r="D530" s="526"/>
      <c r="E530" s="527">
        <f t="shared" si="85"/>
        <v>208.87</v>
      </c>
      <c r="F530" s="502">
        <v>0</v>
      </c>
      <c r="G530" s="502">
        <f t="shared" si="88"/>
        <v>0</v>
      </c>
      <c r="H530" s="502"/>
      <c r="I530" s="502"/>
      <c r="J530" s="502">
        <v>208.87</v>
      </c>
      <c r="K530" s="502">
        <v>0</v>
      </c>
      <c r="L530" s="503" t="s">
        <v>334</v>
      </c>
      <c r="M530" s="522"/>
    </row>
    <row r="531" spans="1:13" s="471" customFormat="1" ht="27" customHeight="1">
      <c r="A531" s="528"/>
      <c r="B531" s="529"/>
      <c r="C531" s="530"/>
      <c r="D531" s="531"/>
      <c r="E531" s="532">
        <f t="shared" si="85"/>
        <v>7632.86</v>
      </c>
      <c r="F531" s="533">
        <v>0</v>
      </c>
      <c r="G531" s="533">
        <f t="shared" si="88"/>
        <v>1710.5</v>
      </c>
      <c r="H531" s="533"/>
      <c r="I531" s="533">
        <v>1710.5</v>
      </c>
      <c r="J531" s="533">
        <v>5922.36</v>
      </c>
      <c r="K531" s="533">
        <v>0</v>
      </c>
      <c r="L531" s="534" t="s">
        <v>323</v>
      </c>
      <c r="M531" s="522"/>
    </row>
    <row r="532" spans="1:13" s="543" customFormat="1" ht="27" customHeight="1">
      <c r="A532" s="535" t="s">
        <v>336</v>
      </c>
      <c r="B532" s="536" t="s">
        <v>337</v>
      </c>
      <c r="C532" s="537"/>
      <c r="D532" s="538">
        <v>2020</v>
      </c>
      <c r="E532" s="539">
        <f>E533+E534</f>
        <v>1979.1</v>
      </c>
      <c r="F532" s="469">
        <f>F533+F534</f>
        <v>0</v>
      </c>
      <c r="G532" s="469">
        <f>G533+G534</f>
        <v>1979.1</v>
      </c>
      <c r="H532" s="469">
        <f>H533+H534</f>
        <v>1979.1</v>
      </c>
      <c r="I532" s="469">
        <f>I533+I534</f>
        <v>0</v>
      </c>
      <c r="J532" s="469">
        <f>J533+J534</f>
        <v>0</v>
      </c>
      <c r="K532" s="540">
        <f>K533+K534</f>
        <v>0</v>
      </c>
      <c r="L532" s="541"/>
      <c r="M532" s="542"/>
    </row>
    <row r="533" spans="1:13" s="471" customFormat="1" ht="27" customHeight="1">
      <c r="A533" s="535"/>
      <c r="B533" s="536"/>
      <c r="C533" s="544"/>
      <c r="D533" s="545" t="s">
        <v>145</v>
      </c>
      <c r="E533" s="474">
        <f aca="true" t="shared" si="89" ref="E533:E546">F533+G533+J533</f>
        <v>925.294</v>
      </c>
      <c r="F533" s="474">
        <v>0</v>
      </c>
      <c r="G533" s="474">
        <f aca="true" t="shared" si="90" ref="G533:G546">H533+I533</f>
        <v>925.294</v>
      </c>
      <c r="H533" s="474">
        <f>925.3-0.006</f>
        <v>925.294</v>
      </c>
      <c r="I533" s="474">
        <v>0</v>
      </c>
      <c r="J533" s="474">
        <v>0</v>
      </c>
      <c r="K533" s="474">
        <v>0</v>
      </c>
      <c r="L533" s="492" t="s">
        <v>145</v>
      </c>
      <c r="M533" s="542"/>
    </row>
    <row r="534" spans="1:13" s="471" customFormat="1" ht="27" customHeight="1">
      <c r="A534" s="535"/>
      <c r="B534" s="536"/>
      <c r="C534" s="544"/>
      <c r="D534" s="546" t="s">
        <v>149</v>
      </c>
      <c r="E534" s="483">
        <f t="shared" si="89"/>
        <v>1053.806</v>
      </c>
      <c r="F534" s="483">
        <v>0</v>
      </c>
      <c r="G534" s="483">
        <f t="shared" si="90"/>
        <v>1053.806</v>
      </c>
      <c r="H534" s="483">
        <f>1053.8+0.006</f>
        <v>1053.806</v>
      </c>
      <c r="I534" s="483">
        <v>0</v>
      </c>
      <c r="J534" s="483">
        <v>0</v>
      </c>
      <c r="K534" s="483">
        <v>0</v>
      </c>
      <c r="L534" s="497" t="s">
        <v>149</v>
      </c>
      <c r="M534" s="542"/>
    </row>
    <row r="535" spans="1:13" s="471" customFormat="1" ht="27" customHeight="1">
      <c r="A535" s="535"/>
      <c r="B535" s="536"/>
      <c r="C535" s="544"/>
      <c r="D535" s="468">
        <v>2021</v>
      </c>
      <c r="E535" s="469">
        <f t="shared" si="89"/>
        <v>5937</v>
      </c>
      <c r="F535" s="469">
        <f>F536+F537</f>
        <v>0</v>
      </c>
      <c r="G535" s="469">
        <f t="shared" si="90"/>
        <v>5937</v>
      </c>
      <c r="H535" s="469">
        <f>H536+H537</f>
        <v>5937</v>
      </c>
      <c r="I535" s="469">
        <f>I536+I537</f>
        <v>0</v>
      </c>
      <c r="J535" s="469">
        <f>J536+J537</f>
        <v>0</v>
      </c>
      <c r="K535" s="540">
        <f>K536+K537</f>
        <v>0</v>
      </c>
      <c r="L535" s="547"/>
      <c r="M535" s="542"/>
    </row>
    <row r="536" spans="1:13" s="471" customFormat="1" ht="27" customHeight="1">
      <c r="A536" s="535"/>
      <c r="B536" s="536"/>
      <c r="C536" s="544"/>
      <c r="D536" s="545" t="s">
        <v>145</v>
      </c>
      <c r="E536" s="474">
        <f t="shared" si="89"/>
        <v>2775.74</v>
      </c>
      <c r="F536" s="474"/>
      <c r="G536" s="474">
        <f t="shared" si="90"/>
        <v>2775.74</v>
      </c>
      <c r="H536" s="474">
        <v>2775.74</v>
      </c>
      <c r="I536" s="474"/>
      <c r="J536" s="474"/>
      <c r="K536" s="474"/>
      <c r="L536" s="548" t="s">
        <v>145</v>
      </c>
      <c r="M536" s="542"/>
    </row>
    <row r="537" spans="1:13" s="471" customFormat="1" ht="27" customHeight="1">
      <c r="A537" s="535"/>
      <c r="B537" s="536"/>
      <c r="C537" s="544"/>
      <c r="D537" s="546" t="s">
        <v>149</v>
      </c>
      <c r="E537" s="483">
        <f t="shared" si="89"/>
        <v>3161.26</v>
      </c>
      <c r="F537" s="483"/>
      <c r="G537" s="483">
        <f t="shared" si="90"/>
        <v>3161.26</v>
      </c>
      <c r="H537" s="483">
        <v>3161.26</v>
      </c>
      <c r="I537" s="483"/>
      <c r="J537" s="483"/>
      <c r="K537" s="483"/>
      <c r="L537" s="548" t="s">
        <v>149</v>
      </c>
      <c r="M537" s="542"/>
    </row>
    <row r="538" spans="1:13" s="471" customFormat="1" ht="27" customHeight="1">
      <c r="A538" s="535"/>
      <c r="B538" s="536"/>
      <c r="C538" s="544"/>
      <c r="D538" s="468">
        <v>2022</v>
      </c>
      <c r="E538" s="469">
        <f t="shared" si="89"/>
        <v>6093.299999999999</v>
      </c>
      <c r="F538" s="469">
        <f>F539+F540</f>
        <v>0</v>
      </c>
      <c r="G538" s="469">
        <f t="shared" si="90"/>
        <v>6093.299999999999</v>
      </c>
      <c r="H538" s="469">
        <f>H539+H540</f>
        <v>6093.299999999999</v>
      </c>
      <c r="I538" s="469">
        <f>I539+I540</f>
        <v>0</v>
      </c>
      <c r="J538" s="469">
        <f>J539+J540</f>
        <v>0</v>
      </c>
      <c r="K538" s="540">
        <f>K539+K540</f>
        <v>0</v>
      </c>
      <c r="L538" s="547"/>
      <c r="M538" s="542"/>
    </row>
    <row r="539" spans="1:13" s="471" customFormat="1" ht="25.5" customHeight="1">
      <c r="A539" s="535"/>
      <c r="B539" s="536"/>
      <c r="C539" s="544"/>
      <c r="D539" s="545" t="s">
        <v>145</v>
      </c>
      <c r="E539" s="474">
        <f t="shared" si="89"/>
        <v>2863.85</v>
      </c>
      <c r="F539" s="474"/>
      <c r="G539" s="474">
        <f t="shared" si="90"/>
        <v>2863.85</v>
      </c>
      <c r="H539" s="474">
        <v>2863.85</v>
      </c>
      <c r="I539" s="474"/>
      <c r="J539" s="474"/>
      <c r="K539" s="474"/>
      <c r="L539" s="548" t="s">
        <v>145</v>
      </c>
      <c r="M539" s="542"/>
    </row>
    <row r="540" spans="1:13" s="471" customFormat="1" ht="27.75" customHeight="1">
      <c r="A540" s="535"/>
      <c r="B540" s="536"/>
      <c r="C540" s="544"/>
      <c r="D540" s="546" t="s">
        <v>149</v>
      </c>
      <c r="E540" s="483">
        <f t="shared" si="89"/>
        <v>3229.45</v>
      </c>
      <c r="F540" s="483"/>
      <c r="G540" s="483">
        <f t="shared" si="90"/>
        <v>3229.45</v>
      </c>
      <c r="H540" s="483">
        <v>3229.45</v>
      </c>
      <c r="I540" s="483"/>
      <c r="J540" s="483"/>
      <c r="K540" s="483"/>
      <c r="L540" s="549" t="s">
        <v>149</v>
      </c>
      <c r="M540" s="542"/>
    </row>
    <row r="541" spans="1:13" s="471" customFormat="1" ht="27.75" customHeight="1">
      <c r="A541" s="535"/>
      <c r="B541" s="536"/>
      <c r="C541" s="544"/>
      <c r="D541" s="468">
        <v>2023</v>
      </c>
      <c r="E541" s="469">
        <f t="shared" si="89"/>
        <v>6093.299999999999</v>
      </c>
      <c r="F541" s="469"/>
      <c r="G541" s="469">
        <f t="shared" si="90"/>
        <v>6093.299999999999</v>
      </c>
      <c r="H541" s="469">
        <f>H542+H543</f>
        <v>6093.299999999999</v>
      </c>
      <c r="I541" s="469">
        <f>I542+I543</f>
        <v>0</v>
      </c>
      <c r="J541" s="469">
        <f>J542+J543</f>
        <v>0</v>
      </c>
      <c r="K541" s="469">
        <f>K542+K543</f>
        <v>0</v>
      </c>
      <c r="L541" s="550"/>
      <c r="M541" s="542"/>
    </row>
    <row r="542" spans="1:13" s="471" customFormat="1" ht="27" customHeight="1">
      <c r="A542" s="535"/>
      <c r="B542" s="536"/>
      <c r="C542" s="551"/>
      <c r="D542" s="552" t="s">
        <v>145</v>
      </c>
      <c r="E542" s="533">
        <f t="shared" si="89"/>
        <v>2863.85</v>
      </c>
      <c r="F542" s="533"/>
      <c r="G542" s="533">
        <f t="shared" si="90"/>
        <v>2863.85</v>
      </c>
      <c r="H542" s="533">
        <v>2863.85</v>
      </c>
      <c r="I542" s="533"/>
      <c r="J542" s="533"/>
      <c r="K542" s="533"/>
      <c r="L542" s="553" t="s">
        <v>145</v>
      </c>
      <c r="M542" s="542"/>
    </row>
    <row r="543" spans="1:13" s="471" customFormat="1" ht="27" customHeight="1">
      <c r="A543" s="535"/>
      <c r="B543" s="536"/>
      <c r="C543" s="544"/>
      <c r="D543" s="554" t="s">
        <v>149</v>
      </c>
      <c r="E543" s="80">
        <f t="shared" si="89"/>
        <v>3229.45</v>
      </c>
      <c r="F543" s="80"/>
      <c r="G543" s="80">
        <f t="shared" si="90"/>
        <v>3229.45</v>
      </c>
      <c r="H543" s="80">
        <v>3229.45</v>
      </c>
      <c r="I543" s="80"/>
      <c r="J543" s="80"/>
      <c r="K543" s="80"/>
      <c r="L543" s="555" t="s">
        <v>149</v>
      </c>
      <c r="M543" s="542"/>
    </row>
    <row r="544" spans="1:13" s="471" customFormat="1" ht="27" customHeight="1">
      <c r="A544" s="535"/>
      <c r="B544" s="536"/>
      <c r="C544" s="556"/>
      <c r="D544" s="557">
        <v>2024</v>
      </c>
      <c r="E544" s="558">
        <f t="shared" si="89"/>
        <v>6015.2</v>
      </c>
      <c r="F544" s="559"/>
      <c r="G544" s="559">
        <f t="shared" si="90"/>
        <v>6015.2</v>
      </c>
      <c r="H544" s="559">
        <f>H545+H546</f>
        <v>6015.2</v>
      </c>
      <c r="I544" s="559">
        <f>I545+I546</f>
        <v>0</v>
      </c>
      <c r="J544" s="559">
        <f>J545+J546</f>
        <v>0</v>
      </c>
      <c r="K544" s="559">
        <f>K545+K546</f>
        <v>0</v>
      </c>
      <c r="L544" s="560"/>
      <c r="M544" s="542"/>
    </row>
    <row r="545" spans="1:13" s="471" customFormat="1" ht="27" customHeight="1">
      <c r="A545" s="535"/>
      <c r="B545" s="536"/>
      <c r="C545" s="561"/>
      <c r="D545" s="562" t="s">
        <v>145</v>
      </c>
      <c r="E545" s="563">
        <f t="shared" si="89"/>
        <v>2827.145</v>
      </c>
      <c r="F545" s="564"/>
      <c r="G545" s="533">
        <f t="shared" si="90"/>
        <v>2827.145</v>
      </c>
      <c r="H545" s="533">
        <v>2827.145</v>
      </c>
      <c r="I545" s="564"/>
      <c r="J545" s="564"/>
      <c r="K545" s="564"/>
      <c r="L545" s="565" t="s">
        <v>145</v>
      </c>
      <c r="M545" s="542"/>
    </row>
    <row r="546" spans="1:13" ht="27.75" customHeight="1">
      <c r="A546" s="535"/>
      <c r="B546" s="536"/>
      <c r="C546" s="566"/>
      <c r="D546" s="567" t="s">
        <v>149</v>
      </c>
      <c r="E546" s="568">
        <f t="shared" si="89"/>
        <v>3188.055</v>
      </c>
      <c r="F546" s="143"/>
      <c r="G546" s="143">
        <f t="shared" si="90"/>
        <v>3188.055</v>
      </c>
      <c r="H546" s="143">
        <v>3188.055</v>
      </c>
      <c r="I546" s="143"/>
      <c r="J546" s="143"/>
      <c r="K546" s="143"/>
      <c r="L546" s="569" t="s">
        <v>149</v>
      </c>
      <c r="M546" s="542"/>
    </row>
    <row r="547" spans="1:13" ht="27" customHeight="1">
      <c r="A547" s="421"/>
      <c r="B547" s="570" t="s">
        <v>338</v>
      </c>
      <c r="C547" s="571"/>
      <c r="D547" s="572">
        <v>2017</v>
      </c>
      <c r="E547" s="153">
        <f>E435+E444</f>
        <v>216780.416</v>
      </c>
      <c r="F547" s="153">
        <f>F435+F444</f>
        <v>124615.2</v>
      </c>
      <c r="G547" s="153">
        <f>G435+G444</f>
        <v>727</v>
      </c>
      <c r="H547" s="153">
        <f>H435+H444</f>
        <v>0</v>
      </c>
      <c r="I547" s="153">
        <f>I435+I444</f>
        <v>727</v>
      </c>
      <c r="J547" s="153">
        <f>J435+J444</f>
        <v>91438.216</v>
      </c>
      <c r="K547" s="153">
        <f>K444+K435+K424+K349+K348+K347+K346+K345+K344+K343+K246+K245</f>
        <v>0</v>
      </c>
      <c r="L547" s="188"/>
      <c r="M547" s="573"/>
    </row>
    <row r="548" spans="1:13" ht="27" customHeight="1">
      <c r="A548" s="421"/>
      <c r="B548" s="570"/>
      <c r="C548" s="574"/>
      <c r="D548" s="575">
        <v>2018</v>
      </c>
      <c r="E548" s="576">
        <f>E454+E446</f>
        <v>209116.99978</v>
      </c>
      <c r="F548" s="576">
        <f>F454+F446</f>
        <v>137344.5</v>
      </c>
      <c r="G548" s="576">
        <f>G454+G446</f>
        <v>1006.9820000000001</v>
      </c>
      <c r="H548" s="576">
        <f>H454+H446</f>
        <v>0</v>
      </c>
      <c r="I548" s="576">
        <f>I454+I446</f>
        <v>1006.9820000000001</v>
      </c>
      <c r="J548" s="576">
        <f>J454+J446</f>
        <v>70765.51778000001</v>
      </c>
      <c r="K548" s="577">
        <f>K446</f>
        <v>0</v>
      </c>
      <c r="L548" s="188"/>
      <c r="M548" s="573"/>
    </row>
    <row r="549" spans="1:13" ht="27" customHeight="1">
      <c r="A549" s="421"/>
      <c r="B549" s="570"/>
      <c r="C549" s="574"/>
      <c r="D549" s="578">
        <v>2019</v>
      </c>
      <c r="E549" s="83">
        <f>E460</f>
        <v>229770.53044</v>
      </c>
      <c r="F549" s="83">
        <f>F460</f>
        <v>150533.8</v>
      </c>
      <c r="G549" s="83">
        <f>G460</f>
        <v>1276.052</v>
      </c>
      <c r="H549" s="83">
        <f>H460</f>
        <v>0</v>
      </c>
      <c r="I549" s="83">
        <f>I460</f>
        <v>1276.052</v>
      </c>
      <c r="J549" s="83">
        <f>J460</f>
        <v>77960.67844</v>
      </c>
      <c r="K549" s="579">
        <f>K460</f>
        <v>0</v>
      </c>
      <c r="L549" s="188"/>
      <c r="M549" s="573"/>
    </row>
    <row r="550" spans="1:13" ht="27" customHeight="1">
      <c r="A550" s="421"/>
      <c r="B550" s="570"/>
      <c r="C550" s="574"/>
      <c r="D550" s="578">
        <v>2020</v>
      </c>
      <c r="E550" s="83">
        <f>E470+E532</f>
        <v>237581.17301</v>
      </c>
      <c r="F550" s="83">
        <f>F470+F532</f>
        <v>151107</v>
      </c>
      <c r="G550" s="83">
        <f>G470+G532</f>
        <v>3250.1</v>
      </c>
      <c r="H550" s="83">
        <f>H470+H532</f>
        <v>1979.1</v>
      </c>
      <c r="I550" s="83">
        <f>I470+I532</f>
        <v>1271</v>
      </c>
      <c r="J550" s="83">
        <f>J470+J532</f>
        <v>83224.07301</v>
      </c>
      <c r="K550" s="579">
        <f>K470+K532</f>
        <v>0</v>
      </c>
      <c r="L550" s="188"/>
      <c r="M550" s="573"/>
    </row>
    <row r="551" spans="1:13" ht="27" customHeight="1">
      <c r="A551" s="421"/>
      <c r="B551" s="570"/>
      <c r="C551" s="574"/>
      <c r="D551" s="578">
        <v>2021</v>
      </c>
      <c r="E551" s="83">
        <f>E535+E480</f>
        <v>246291.62797</v>
      </c>
      <c r="F551" s="83">
        <f>F535+F480</f>
        <v>157115</v>
      </c>
      <c r="G551" s="83">
        <f>G535+G480</f>
        <v>7957.82</v>
      </c>
      <c r="H551" s="83">
        <f>H535+H480</f>
        <v>5937</v>
      </c>
      <c r="I551" s="83">
        <f>I535+I480</f>
        <v>2020.82</v>
      </c>
      <c r="J551" s="83">
        <f>J535+J480</f>
        <v>81218.80797</v>
      </c>
      <c r="K551" s="83">
        <f>K535+K480</f>
        <v>0</v>
      </c>
      <c r="L551" s="188"/>
      <c r="M551" s="573"/>
    </row>
    <row r="552" spans="1:13" ht="27" customHeight="1">
      <c r="A552" s="421"/>
      <c r="B552" s="570"/>
      <c r="C552" s="574"/>
      <c r="D552" s="578">
        <v>2022</v>
      </c>
      <c r="E552" s="83">
        <f>E538+E493</f>
        <v>251743.75499999998</v>
      </c>
      <c r="F552" s="83">
        <f>F538+F493</f>
        <v>160491.99999999997</v>
      </c>
      <c r="G552" s="83">
        <f>G538+G493</f>
        <v>7803.799999999999</v>
      </c>
      <c r="H552" s="83">
        <f>H538+H493</f>
        <v>6093.299999999999</v>
      </c>
      <c r="I552" s="83">
        <f>I538+I493</f>
        <v>1710.5</v>
      </c>
      <c r="J552" s="83">
        <f>J538+J493</f>
        <v>83447.95500000002</v>
      </c>
      <c r="K552" s="579">
        <f>K538+K493</f>
        <v>0</v>
      </c>
      <c r="L552" s="188"/>
      <c r="M552" s="573"/>
    </row>
    <row r="553" spans="1:13" ht="27" customHeight="1">
      <c r="A553" s="421"/>
      <c r="B553" s="570"/>
      <c r="C553" s="574"/>
      <c r="D553" s="578">
        <v>2023</v>
      </c>
      <c r="E553" s="142">
        <f>E541+E506</f>
        <v>251495.581</v>
      </c>
      <c r="F553" s="142">
        <f>F541+F506</f>
        <v>160562</v>
      </c>
      <c r="G553" s="142">
        <f>G541+G506</f>
        <v>7803.799999999999</v>
      </c>
      <c r="H553" s="142">
        <f>H541+H506</f>
        <v>6093.299999999999</v>
      </c>
      <c r="I553" s="142">
        <f>I541+I506</f>
        <v>1710.5</v>
      </c>
      <c r="J553" s="142">
        <f>J541+J506</f>
        <v>83129.781</v>
      </c>
      <c r="K553" s="580">
        <f aca="true" t="shared" si="91" ref="K553:K554">K541+K506</f>
        <v>0</v>
      </c>
      <c r="L553" s="188"/>
      <c r="M553" s="573"/>
    </row>
    <row r="554" spans="1:13" ht="27" customHeight="1">
      <c r="A554" s="421"/>
      <c r="B554" s="570"/>
      <c r="C554" s="574"/>
      <c r="D554" s="581">
        <v>2024</v>
      </c>
      <c r="E554" s="135">
        <f>E544+E519</f>
        <v>251401.981</v>
      </c>
      <c r="F554" s="135">
        <f>F544+F519</f>
        <v>160562</v>
      </c>
      <c r="G554" s="135">
        <f>G544+G519</f>
        <v>7725.7</v>
      </c>
      <c r="H554" s="135">
        <f>H544+H519</f>
        <v>6015.2</v>
      </c>
      <c r="I554" s="135">
        <f>I544+I519</f>
        <v>1710.5</v>
      </c>
      <c r="J554" s="135">
        <f>J544+J519</f>
        <v>83114.28099999999</v>
      </c>
      <c r="K554" s="582">
        <f t="shared" si="91"/>
        <v>0</v>
      </c>
      <c r="L554" s="188"/>
      <c r="M554" s="573"/>
    </row>
    <row r="555" spans="1:13" ht="27" customHeight="1">
      <c r="A555" s="583" t="s">
        <v>339</v>
      </c>
      <c r="B555" s="583"/>
      <c r="C555" s="583"/>
      <c r="D555" s="583"/>
      <c r="E555" s="583"/>
      <c r="F555" s="583"/>
      <c r="G555" s="583"/>
      <c r="H555" s="583"/>
      <c r="I555" s="583"/>
      <c r="J555" s="583"/>
      <c r="K555" s="584"/>
      <c r="L555" s="584"/>
      <c r="M555" s="585"/>
    </row>
    <row r="556" spans="1:13" ht="27" customHeight="1">
      <c r="A556" s="437" t="s">
        <v>340</v>
      </c>
      <c r="B556" s="570"/>
      <c r="C556" s="586"/>
      <c r="D556" s="586"/>
      <c r="E556" s="586"/>
      <c r="F556" s="586"/>
      <c r="G556" s="586"/>
      <c r="H556" s="586"/>
      <c r="I556" s="586"/>
      <c r="J556" s="586"/>
      <c r="K556" s="586"/>
      <c r="L556" s="587"/>
      <c r="M556" s="82"/>
    </row>
    <row r="557" spans="1:13" ht="29.25" customHeight="1">
      <c r="A557" s="588" t="s">
        <v>341</v>
      </c>
      <c r="B557" s="589"/>
      <c r="C557" s="590"/>
      <c r="D557" s="590"/>
      <c r="E557" s="590"/>
      <c r="F557" s="590"/>
      <c r="G557" s="590"/>
      <c r="H557" s="590"/>
      <c r="I557" s="590"/>
      <c r="J557" s="590"/>
      <c r="K557" s="590"/>
      <c r="L557" s="590"/>
      <c r="M557" s="591"/>
    </row>
    <row r="558" spans="1:13" ht="24.75" customHeight="1">
      <c r="A558" s="592" t="s">
        <v>342</v>
      </c>
      <c r="B558" s="593" t="s">
        <v>343</v>
      </c>
      <c r="C558" s="594"/>
      <c r="D558" s="181">
        <v>2017</v>
      </c>
      <c r="E558" s="25">
        <f aca="true" t="shared" si="92" ref="E558:E565">F558+G558+J558+K558</f>
        <v>7260.311</v>
      </c>
      <c r="F558" s="28"/>
      <c r="G558" s="28">
        <f aca="true" t="shared" si="93" ref="G558:G565">H558+I558</f>
        <v>0</v>
      </c>
      <c r="H558" s="25">
        <v>0</v>
      </c>
      <c r="I558" s="25">
        <v>0</v>
      </c>
      <c r="J558" s="25">
        <v>7260.311</v>
      </c>
      <c r="K558" s="28">
        <v>0</v>
      </c>
      <c r="L558" s="595" t="s">
        <v>344</v>
      </c>
      <c r="M558" s="596" t="s">
        <v>345</v>
      </c>
    </row>
    <row r="559" spans="1:13" ht="24.75" customHeight="1">
      <c r="A559" s="592"/>
      <c r="B559" s="593"/>
      <c r="C559" s="594"/>
      <c r="D559" s="183">
        <v>2018</v>
      </c>
      <c r="E559" s="32">
        <f t="shared" si="92"/>
        <v>8308.2425</v>
      </c>
      <c r="F559" s="33"/>
      <c r="G559" s="33">
        <f t="shared" si="93"/>
        <v>0</v>
      </c>
      <c r="H559" s="32">
        <v>0</v>
      </c>
      <c r="I559" s="32">
        <v>0</v>
      </c>
      <c r="J559" s="32">
        <f>8213.1695+95.073</f>
        <v>8308.2425</v>
      </c>
      <c r="K559" s="33">
        <v>0</v>
      </c>
      <c r="L559" s="308" t="s">
        <v>344</v>
      </c>
      <c r="M559" s="596"/>
    </row>
    <row r="560" spans="1:13" ht="24.75" customHeight="1">
      <c r="A560" s="592"/>
      <c r="B560" s="593"/>
      <c r="C560" s="594"/>
      <c r="D560" s="183">
        <v>2019</v>
      </c>
      <c r="E560" s="32">
        <f t="shared" si="92"/>
        <v>8783.56033</v>
      </c>
      <c r="F560" s="33"/>
      <c r="G560" s="33">
        <f t="shared" si="93"/>
        <v>0</v>
      </c>
      <c r="H560" s="32">
        <v>0</v>
      </c>
      <c r="I560" s="32">
        <v>0</v>
      </c>
      <c r="J560" s="32">
        <f>8729.252+86.622-32.31367</f>
        <v>8783.56033</v>
      </c>
      <c r="K560" s="32">
        <v>0</v>
      </c>
      <c r="L560" s="308" t="s">
        <v>344</v>
      </c>
      <c r="M560" s="596"/>
    </row>
    <row r="561" spans="1:13" ht="24.75" customHeight="1">
      <c r="A561" s="592"/>
      <c r="B561" s="593"/>
      <c r="C561" s="594"/>
      <c r="D561" s="183">
        <v>2020</v>
      </c>
      <c r="E561" s="32">
        <f t="shared" si="92"/>
        <v>9039.217999999999</v>
      </c>
      <c r="F561" s="33"/>
      <c r="G561" s="33">
        <f t="shared" si="93"/>
        <v>0</v>
      </c>
      <c r="H561" s="32">
        <v>0</v>
      </c>
      <c r="I561" s="32">
        <v>0</v>
      </c>
      <c r="J561" s="32">
        <f>8976.345+62.873</f>
        <v>9039.217999999999</v>
      </c>
      <c r="K561" s="33">
        <v>0</v>
      </c>
      <c r="L561" s="308" t="s">
        <v>344</v>
      </c>
      <c r="M561" s="596"/>
    </row>
    <row r="562" spans="1:13" ht="24.75" customHeight="1">
      <c r="A562" s="592"/>
      <c r="B562" s="593"/>
      <c r="C562" s="594"/>
      <c r="D562" s="183">
        <v>2021</v>
      </c>
      <c r="E562" s="32">
        <f t="shared" si="92"/>
        <v>9362.219</v>
      </c>
      <c r="F562" s="33"/>
      <c r="G562" s="33">
        <f t="shared" si="93"/>
        <v>0</v>
      </c>
      <c r="H562" s="32">
        <v>0</v>
      </c>
      <c r="I562" s="32">
        <v>0</v>
      </c>
      <c r="J562" s="32">
        <v>9362.219</v>
      </c>
      <c r="K562" s="33">
        <v>0</v>
      </c>
      <c r="L562" s="308" t="s">
        <v>344</v>
      </c>
      <c r="M562" s="596"/>
    </row>
    <row r="563" spans="1:13" ht="24.75" customHeight="1">
      <c r="A563" s="592"/>
      <c r="B563" s="593"/>
      <c r="C563" s="597"/>
      <c r="D563" s="183">
        <v>2022</v>
      </c>
      <c r="E563" s="32">
        <f t="shared" si="92"/>
        <v>9613.808</v>
      </c>
      <c r="F563" s="33"/>
      <c r="G563" s="33">
        <f t="shared" si="93"/>
        <v>0</v>
      </c>
      <c r="H563" s="32">
        <v>0</v>
      </c>
      <c r="I563" s="32">
        <v>0</v>
      </c>
      <c r="J563" s="32">
        <v>9613.808</v>
      </c>
      <c r="K563" s="33">
        <v>0</v>
      </c>
      <c r="L563" s="308" t="s">
        <v>344</v>
      </c>
      <c r="M563" s="596"/>
    </row>
    <row r="564" spans="1:13" ht="24.75" customHeight="1">
      <c r="A564" s="592"/>
      <c r="B564" s="593"/>
      <c r="C564" s="597"/>
      <c r="D564" s="428">
        <v>2023</v>
      </c>
      <c r="E564" s="46">
        <f t="shared" si="92"/>
        <v>8635.175</v>
      </c>
      <c r="F564" s="47"/>
      <c r="G564" s="47">
        <f t="shared" si="93"/>
        <v>0</v>
      </c>
      <c r="H564" s="46">
        <v>0</v>
      </c>
      <c r="I564" s="46">
        <v>0</v>
      </c>
      <c r="J564" s="46">
        <v>8635.175</v>
      </c>
      <c r="K564" s="47">
        <v>0</v>
      </c>
      <c r="L564" s="110" t="s">
        <v>344</v>
      </c>
      <c r="M564" s="596"/>
    </row>
    <row r="565" spans="1:13" ht="24.75" customHeight="1">
      <c r="A565" s="592"/>
      <c r="B565" s="593"/>
      <c r="C565" s="597"/>
      <c r="D565" s="428">
        <v>2024</v>
      </c>
      <c r="E565" s="46">
        <f t="shared" si="92"/>
        <v>8635.175</v>
      </c>
      <c r="F565" s="47"/>
      <c r="G565" s="47">
        <f t="shared" si="93"/>
        <v>0</v>
      </c>
      <c r="H565" s="46">
        <v>0</v>
      </c>
      <c r="I565" s="46">
        <v>0</v>
      </c>
      <c r="J565" s="46">
        <v>8635.175</v>
      </c>
      <c r="K565" s="47">
        <v>0</v>
      </c>
      <c r="L565" s="110" t="s">
        <v>344</v>
      </c>
      <c r="M565" s="596"/>
    </row>
    <row r="566" spans="1:13" ht="27" customHeight="1">
      <c r="A566" s="598" t="s">
        <v>346</v>
      </c>
      <c r="B566" s="598"/>
      <c r="C566" s="598"/>
      <c r="D566" s="598"/>
      <c r="E566" s="598"/>
      <c r="F566" s="598"/>
      <c r="G566" s="598"/>
      <c r="H566" s="598"/>
      <c r="I566" s="599"/>
      <c r="J566" s="599"/>
      <c r="K566" s="599"/>
      <c r="L566" s="599"/>
      <c r="M566" s="599"/>
    </row>
    <row r="567" spans="1:13" ht="27" customHeight="1">
      <c r="A567" s="600" t="s">
        <v>347</v>
      </c>
      <c r="B567" s="600"/>
      <c r="C567" s="600"/>
      <c r="D567" s="600"/>
      <c r="E567" s="600"/>
      <c r="F567" s="600"/>
      <c r="G567" s="600"/>
      <c r="H567" s="600"/>
      <c r="I567" s="601"/>
      <c r="J567" s="601"/>
      <c r="K567" s="601"/>
      <c r="L567" s="601"/>
      <c r="M567" s="602"/>
    </row>
    <row r="568" spans="1:13" ht="27" customHeight="1">
      <c r="A568" s="603" t="s">
        <v>348</v>
      </c>
      <c r="B568" s="603"/>
      <c r="C568" s="603"/>
      <c r="D568" s="603"/>
      <c r="E568" s="603"/>
      <c r="F568" s="603"/>
      <c r="G568" s="604"/>
      <c r="H568" s="604"/>
      <c r="I568" s="604"/>
      <c r="J568" s="604"/>
      <c r="K568" s="604"/>
      <c r="L568" s="604"/>
      <c r="M568" s="602"/>
    </row>
    <row r="569" spans="1:13" ht="24.75" customHeight="1">
      <c r="A569" s="605" t="s">
        <v>349</v>
      </c>
      <c r="B569" s="606" t="s">
        <v>350</v>
      </c>
      <c r="C569" s="607"/>
      <c r="D569" s="15">
        <v>2017</v>
      </c>
      <c r="E569" s="608">
        <f aca="true" t="shared" si="94" ref="E569:E594">F569+G569+J569+K569</f>
        <v>292.4</v>
      </c>
      <c r="F569" s="132">
        <v>292.4</v>
      </c>
      <c r="G569" s="132">
        <f aca="true" t="shared" si="95" ref="G569:G574">H569+I569</f>
        <v>0</v>
      </c>
      <c r="H569" s="132"/>
      <c r="I569" s="132">
        <v>0</v>
      </c>
      <c r="J569" s="132">
        <v>0</v>
      </c>
      <c r="K569" s="132">
        <v>0</v>
      </c>
      <c r="L569" s="609" t="s">
        <v>63</v>
      </c>
      <c r="M569" s="610" t="s">
        <v>351</v>
      </c>
    </row>
    <row r="570" spans="1:13" ht="24.75" customHeight="1">
      <c r="A570" s="605"/>
      <c r="B570" s="606"/>
      <c r="C570" s="611"/>
      <c r="D570" s="15">
        <v>2018</v>
      </c>
      <c r="E570" s="612">
        <f t="shared" si="94"/>
        <v>233.2</v>
      </c>
      <c r="F570" s="80">
        <v>233.2</v>
      </c>
      <c r="G570" s="80">
        <f t="shared" si="95"/>
        <v>0</v>
      </c>
      <c r="H570" s="80"/>
      <c r="I570" s="80">
        <v>0</v>
      </c>
      <c r="J570" s="80">
        <v>0</v>
      </c>
      <c r="K570" s="80">
        <v>0</v>
      </c>
      <c r="L570" s="297" t="s">
        <v>63</v>
      </c>
      <c r="M570" s="610"/>
    </row>
    <row r="571" spans="1:13" ht="24.75" customHeight="1">
      <c r="A571" s="605"/>
      <c r="B571" s="606"/>
      <c r="C571" s="611"/>
      <c r="D571" s="15">
        <v>2019</v>
      </c>
      <c r="E571" s="612">
        <f t="shared" si="94"/>
        <v>281.9</v>
      </c>
      <c r="F571" s="80">
        <v>281.9</v>
      </c>
      <c r="G571" s="80">
        <f t="shared" si="95"/>
        <v>0</v>
      </c>
      <c r="H571" s="80"/>
      <c r="I571" s="80">
        <v>0</v>
      </c>
      <c r="J571" s="80">
        <v>0</v>
      </c>
      <c r="K571" s="80">
        <v>0</v>
      </c>
      <c r="L571" s="297" t="s">
        <v>63</v>
      </c>
      <c r="M571" s="610"/>
    </row>
    <row r="572" spans="1:13" ht="24.75" customHeight="1">
      <c r="A572" s="605"/>
      <c r="B572" s="606"/>
      <c r="C572" s="611"/>
      <c r="D572" s="15">
        <v>2020</v>
      </c>
      <c r="E572" s="612">
        <f t="shared" si="94"/>
        <v>216.2</v>
      </c>
      <c r="F572" s="80">
        <v>216.2</v>
      </c>
      <c r="G572" s="80">
        <f t="shared" si="95"/>
        <v>0</v>
      </c>
      <c r="H572" s="80"/>
      <c r="I572" s="80">
        <v>0</v>
      </c>
      <c r="J572" s="80">
        <v>0</v>
      </c>
      <c r="K572" s="80">
        <v>0</v>
      </c>
      <c r="L572" s="297" t="s">
        <v>63</v>
      </c>
      <c r="M572" s="610"/>
    </row>
    <row r="573" spans="1:13" ht="24.75" customHeight="1">
      <c r="A573" s="605"/>
      <c r="B573" s="606"/>
      <c r="C573" s="611"/>
      <c r="D573" s="15">
        <v>2021</v>
      </c>
      <c r="E573" s="612">
        <f t="shared" si="94"/>
        <v>203.5</v>
      </c>
      <c r="F573" s="80">
        <f>201.2+2.3</f>
        <v>203.5</v>
      </c>
      <c r="G573" s="80">
        <f t="shared" si="95"/>
        <v>0</v>
      </c>
      <c r="H573" s="80"/>
      <c r="I573" s="80">
        <v>0</v>
      </c>
      <c r="J573" s="80">
        <v>0</v>
      </c>
      <c r="K573" s="80">
        <v>0</v>
      </c>
      <c r="L573" s="297" t="s">
        <v>63</v>
      </c>
      <c r="M573" s="610"/>
    </row>
    <row r="574" spans="1:13" ht="24.75" customHeight="1">
      <c r="A574" s="605"/>
      <c r="B574" s="606"/>
      <c r="C574" s="611"/>
      <c r="D574" s="15">
        <v>2022</v>
      </c>
      <c r="E574" s="612">
        <f t="shared" si="94"/>
        <v>206.3</v>
      </c>
      <c r="F574" s="143">
        <v>206.3</v>
      </c>
      <c r="G574" s="143">
        <f t="shared" si="95"/>
        <v>0</v>
      </c>
      <c r="H574" s="143"/>
      <c r="I574" s="143">
        <v>0</v>
      </c>
      <c r="J574" s="143">
        <v>0</v>
      </c>
      <c r="K574" s="143">
        <v>0</v>
      </c>
      <c r="L574" s="270" t="s">
        <v>63</v>
      </c>
      <c r="M574" s="610"/>
    </row>
    <row r="575" spans="1:13" ht="24.75" customHeight="1">
      <c r="A575" s="605"/>
      <c r="B575" s="606"/>
      <c r="C575" s="611"/>
      <c r="D575" s="15">
        <v>2023</v>
      </c>
      <c r="E575" s="613">
        <f t="shared" si="94"/>
        <v>206.3</v>
      </c>
      <c r="F575" s="80">
        <v>206.3</v>
      </c>
      <c r="G575" s="80">
        <v>0</v>
      </c>
      <c r="H575" s="80">
        <v>0</v>
      </c>
      <c r="I575" s="80">
        <v>0</v>
      </c>
      <c r="J575" s="80">
        <v>0</v>
      </c>
      <c r="K575" s="80">
        <v>0</v>
      </c>
      <c r="L575" s="297"/>
      <c r="M575" s="610"/>
    </row>
    <row r="576" spans="1:13" ht="24.75" customHeight="1">
      <c r="A576" s="605"/>
      <c r="B576" s="606"/>
      <c r="C576" s="611"/>
      <c r="D576" s="15">
        <v>2024</v>
      </c>
      <c r="E576" s="612">
        <f t="shared" si="94"/>
        <v>206.3</v>
      </c>
      <c r="F576" s="614">
        <v>206.3</v>
      </c>
      <c r="G576" s="614">
        <v>0</v>
      </c>
      <c r="H576" s="614">
        <v>0</v>
      </c>
      <c r="I576" s="614">
        <v>0</v>
      </c>
      <c r="J576" s="614">
        <v>0</v>
      </c>
      <c r="K576" s="614">
        <v>0</v>
      </c>
      <c r="L576" s="615"/>
      <c r="M576" s="616"/>
    </row>
    <row r="577" spans="1:13" ht="24.75" customHeight="1">
      <c r="A577" s="617" t="s">
        <v>352</v>
      </c>
      <c r="B577" s="464" t="s">
        <v>353</v>
      </c>
      <c r="C577" s="618"/>
      <c r="D577" s="42">
        <v>2017</v>
      </c>
      <c r="E577" s="619">
        <f t="shared" si="94"/>
        <v>96.8</v>
      </c>
      <c r="F577" s="619">
        <v>0</v>
      </c>
      <c r="G577" s="619">
        <f aca="true" t="shared" si="96" ref="G577:G582">H577+I577</f>
        <v>96.8</v>
      </c>
      <c r="H577" s="619"/>
      <c r="I577" s="619">
        <v>96.8</v>
      </c>
      <c r="J577" s="619">
        <v>0</v>
      </c>
      <c r="K577" s="619">
        <v>0</v>
      </c>
      <c r="L577" s="620" t="s">
        <v>63</v>
      </c>
      <c r="M577" s="621" t="s">
        <v>354</v>
      </c>
    </row>
    <row r="578" spans="1:13" ht="24.75" customHeight="1">
      <c r="A578" s="617"/>
      <c r="B578" s="464"/>
      <c r="C578" s="618"/>
      <c r="D578" s="15">
        <v>2018</v>
      </c>
      <c r="E578" s="80">
        <f t="shared" si="94"/>
        <v>127.3</v>
      </c>
      <c r="F578" s="80">
        <v>0</v>
      </c>
      <c r="G578" s="80">
        <f t="shared" si="96"/>
        <v>127.3</v>
      </c>
      <c r="H578" s="80"/>
      <c r="I578" s="80">
        <v>127.3</v>
      </c>
      <c r="J578" s="80">
        <v>0</v>
      </c>
      <c r="K578" s="80">
        <v>0</v>
      </c>
      <c r="L578" s="297" t="s">
        <v>63</v>
      </c>
      <c r="M578" s="621"/>
    </row>
    <row r="579" spans="1:13" ht="24.75" customHeight="1">
      <c r="A579" s="617"/>
      <c r="B579" s="464"/>
      <c r="C579" s="618"/>
      <c r="D579" s="15">
        <v>2019</v>
      </c>
      <c r="E579" s="80">
        <f t="shared" si="94"/>
        <v>132.7</v>
      </c>
      <c r="F579" s="80">
        <v>0</v>
      </c>
      <c r="G579" s="80">
        <f t="shared" si="96"/>
        <v>132.7</v>
      </c>
      <c r="H579" s="80"/>
      <c r="I579" s="80">
        <v>132.7</v>
      </c>
      <c r="J579" s="80">
        <v>0</v>
      </c>
      <c r="K579" s="80">
        <v>0</v>
      </c>
      <c r="L579" s="297" t="s">
        <v>63</v>
      </c>
      <c r="M579" s="621"/>
    </row>
    <row r="580" spans="1:13" ht="24.75" customHeight="1">
      <c r="A580" s="617"/>
      <c r="B580" s="464"/>
      <c r="C580" s="618"/>
      <c r="D580" s="15">
        <v>2020</v>
      </c>
      <c r="E580" s="80">
        <f t="shared" si="94"/>
        <v>134.4</v>
      </c>
      <c r="F580" s="80">
        <v>134.4</v>
      </c>
      <c r="G580" s="80">
        <f t="shared" si="96"/>
        <v>0</v>
      </c>
      <c r="H580" s="80"/>
      <c r="I580" s="80">
        <v>0</v>
      </c>
      <c r="J580" s="80">
        <v>0</v>
      </c>
      <c r="K580" s="80">
        <v>0</v>
      </c>
      <c r="L580" s="297" t="s">
        <v>63</v>
      </c>
      <c r="M580" s="621"/>
    </row>
    <row r="581" spans="1:13" ht="24.75" customHeight="1">
      <c r="A581" s="617"/>
      <c r="B581" s="464"/>
      <c r="C581" s="618"/>
      <c r="D581" s="15">
        <v>2021</v>
      </c>
      <c r="E581" s="80">
        <f t="shared" si="94"/>
        <v>288.7</v>
      </c>
      <c r="F581" s="80">
        <v>288.7</v>
      </c>
      <c r="G581" s="80">
        <f t="shared" si="96"/>
        <v>0</v>
      </c>
      <c r="H581" s="80"/>
      <c r="I581" s="80">
        <v>0</v>
      </c>
      <c r="J581" s="80">
        <v>0</v>
      </c>
      <c r="K581" s="80">
        <v>0</v>
      </c>
      <c r="L581" s="297" t="s">
        <v>63</v>
      </c>
      <c r="M581" s="621"/>
    </row>
    <row r="582" spans="1:13" ht="24.75" customHeight="1">
      <c r="A582" s="617"/>
      <c r="B582" s="464"/>
      <c r="C582" s="618"/>
      <c r="D582" s="15">
        <v>2022</v>
      </c>
      <c r="E582" s="80">
        <f t="shared" si="94"/>
        <v>367.1</v>
      </c>
      <c r="F582" s="80">
        <v>367.1</v>
      </c>
      <c r="G582" s="80">
        <f t="shared" si="96"/>
        <v>0</v>
      </c>
      <c r="H582" s="80"/>
      <c r="I582" s="80">
        <v>0</v>
      </c>
      <c r="J582" s="80">
        <v>0</v>
      </c>
      <c r="K582" s="80">
        <v>0</v>
      </c>
      <c r="L582" s="297" t="s">
        <v>63</v>
      </c>
      <c r="M582" s="621"/>
    </row>
    <row r="583" spans="1:13" ht="24.75" customHeight="1">
      <c r="A583" s="617"/>
      <c r="B583" s="464"/>
      <c r="C583" s="618"/>
      <c r="D583" s="15">
        <v>2023</v>
      </c>
      <c r="E583" s="80">
        <f t="shared" si="94"/>
        <v>367.1</v>
      </c>
      <c r="F583" s="80">
        <v>367.1</v>
      </c>
      <c r="G583" s="80">
        <v>0</v>
      </c>
      <c r="H583" s="80"/>
      <c r="I583" s="80">
        <v>0</v>
      </c>
      <c r="J583" s="80">
        <v>0</v>
      </c>
      <c r="K583" s="80">
        <v>0</v>
      </c>
      <c r="L583" s="297" t="s">
        <v>63</v>
      </c>
      <c r="M583" s="621"/>
    </row>
    <row r="584" spans="1:13" ht="24.75" customHeight="1">
      <c r="A584" s="617"/>
      <c r="B584" s="464"/>
      <c r="C584" s="622"/>
      <c r="D584" s="623">
        <v>2024</v>
      </c>
      <c r="E584" s="624">
        <f t="shared" si="94"/>
        <v>367.1</v>
      </c>
      <c r="F584" s="624">
        <v>367.1</v>
      </c>
      <c r="G584" s="624">
        <v>0</v>
      </c>
      <c r="H584" s="624"/>
      <c r="I584" s="624">
        <v>0</v>
      </c>
      <c r="J584" s="624">
        <v>0</v>
      </c>
      <c r="K584" s="624">
        <v>0</v>
      </c>
      <c r="L584" s="270" t="s">
        <v>63</v>
      </c>
      <c r="M584" s="596"/>
    </row>
    <row r="585" spans="1:13" ht="24.75" customHeight="1">
      <c r="A585" s="625" t="s">
        <v>355</v>
      </c>
      <c r="B585" s="464" t="s">
        <v>356</v>
      </c>
      <c r="C585" s="71"/>
      <c r="D585" s="15">
        <v>2017</v>
      </c>
      <c r="E585" s="80">
        <f t="shared" si="94"/>
        <v>5391.1</v>
      </c>
      <c r="F585" s="80">
        <v>5391.1</v>
      </c>
      <c r="G585" s="80">
        <f aca="true" t="shared" si="97" ref="G585:G594">H585+I585</f>
        <v>0</v>
      </c>
      <c r="H585" s="80"/>
      <c r="I585" s="80">
        <v>0</v>
      </c>
      <c r="J585" s="80">
        <v>0</v>
      </c>
      <c r="K585" s="80">
        <v>0</v>
      </c>
      <c r="L585" s="297" t="s">
        <v>63</v>
      </c>
      <c r="M585" s="610" t="s">
        <v>357</v>
      </c>
    </row>
    <row r="586" spans="1:21" ht="24.75" customHeight="1">
      <c r="A586" s="625"/>
      <c r="B586" s="464"/>
      <c r="C586" s="71"/>
      <c r="D586" s="15">
        <v>2018</v>
      </c>
      <c r="E586" s="80">
        <f t="shared" si="94"/>
        <v>5870.4</v>
      </c>
      <c r="F586" s="80">
        <v>5870.4</v>
      </c>
      <c r="G586" s="80">
        <f t="shared" si="97"/>
        <v>0</v>
      </c>
      <c r="H586" s="80"/>
      <c r="I586" s="80">
        <v>0</v>
      </c>
      <c r="J586" s="80">
        <v>0</v>
      </c>
      <c r="K586" s="80">
        <v>0</v>
      </c>
      <c r="L586" s="297" t="s">
        <v>63</v>
      </c>
      <c r="M586" s="610"/>
      <c r="Q586" s="240"/>
      <c r="R586" s="240"/>
      <c r="S586" s="240"/>
      <c r="T586" s="240"/>
      <c r="U586" s="240"/>
    </row>
    <row r="587" spans="1:21" ht="24.75" customHeight="1">
      <c r="A587" s="625"/>
      <c r="B587" s="464"/>
      <c r="C587" s="626"/>
      <c r="D587" s="15">
        <v>2019</v>
      </c>
      <c r="E587" s="80">
        <f t="shared" si="94"/>
        <v>6295.7</v>
      </c>
      <c r="F587" s="80">
        <f>5735.3+560.4</f>
        <v>6295.7</v>
      </c>
      <c r="G587" s="80">
        <f t="shared" si="97"/>
        <v>0</v>
      </c>
      <c r="H587" s="80"/>
      <c r="I587" s="80">
        <v>0</v>
      </c>
      <c r="J587" s="80">
        <v>0</v>
      </c>
      <c r="K587" s="80">
        <v>0</v>
      </c>
      <c r="L587" s="297" t="s">
        <v>63</v>
      </c>
      <c r="M587" s="610"/>
      <c r="Q587" s="240"/>
      <c r="R587" s="240"/>
      <c r="S587" s="240"/>
      <c r="T587" s="240"/>
      <c r="U587" s="240"/>
    </row>
    <row r="588" spans="1:21" ht="24.75" customHeight="1">
      <c r="A588" s="625"/>
      <c r="B588" s="464"/>
      <c r="C588" s="626"/>
      <c r="D588" s="15">
        <v>2020</v>
      </c>
      <c r="E588" s="80">
        <f t="shared" si="94"/>
        <v>5046.599999999999</v>
      </c>
      <c r="F588" s="80">
        <f>6203.9-1157.3</f>
        <v>5046.599999999999</v>
      </c>
      <c r="G588" s="80">
        <f t="shared" si="97"/>
        <v>0</v>
      </c>
      <c r="H588" s="80"/>
      <c r="I588" s="80">
        <v>0</v>
      </c>
      <c r="J588" s="80">
        <v>0</v>
      </c>
      <c r="K588" s="80">
        <v>0</v>
      </c>
      <c r="L588" s="297" t="s">
        <v>63</v>
      </c>
      <c r="M588" s="610"/>
      <c r="Q588" s="240"/>
      <c r="R588" s="240"/>
      <c r="S588" s="240"/>
      <c r="T588" s="240"/>
      <c r="U588" s="240"/>
    </row>
    <row r="589" spans="1:21" ht="24.75" customHeight="1">
      <c r="A589" s="625"/>
      <c r="B589" s="464"/>
      <c r="C589" s="626"/>
      <c r="D589" s="15">
        <v>2021</v>
      </c>
      <c r="E589" s="80">
        <f t="shared" si="94"/>
        <v>6124.2</v>
      </c>
      <c r="F589" s="80">
        <f>5858.2+266</f>
        <v>6124.2</v>
      </c>
      <c r="G589" s="80">
        <f t="shared" si="97"/>
        <v>0</v>
      </c>
      <c r="H589" s="80"/>
      <c r="I589" s="80">
        <v>0</v>
      </c>
      <c r="J589" s="80">
        <v>0</v>
      </c>
      <c r="K589" s="80">
        <v>0</v>
      </c>
      <c r="L589" s="297" t="s">
        <v>63</v>
      </c>
      <c r="M589" s="610"/>
      <c r="Q589" s="240"/>
      <c r="R589" s="240"/>
      <c r="S589" s="240"/>
      <c r="T589" s="240"/>
      <c r="U589" s="240"/>
    </row>
    <row r="590" spans="1:21" ht="24.75" customHeight="1">
      <c r="A590" s="625"/>
      <c r="B590" s="464"/>
      <c r="C590" s="626"/>
      <c r="D590" s="15">
        <v>2022</v>
      </c>
      <c r="E590" s="80">
        <f t="shared" si="94"/>
        <v>5911.6</v>
      </c>
      <c r="F590" s="80">
        <v>5911.6</v>
      </c>
      <c r="G590" s="80">
        <f t="shared" si="97"/>
        <v>0</v>
      </c>
      <c r="H590" s="80"/>
      <c r="I590" s="80">
        <v>0</v>
      </c>
      <c r="J590" s="80">
        <v>0</v>
      </c>
      <c r="K590" s="80">
        <v>0</v>
      </c>
      <c r="L590" s="297" t="s">
        <v>63</v>
      </c>
      <c r="M590" s="610"/>
      <c r="Q590" s="240"/>
      <c r="R590" s="240"/>
      <c r="S590" s="240"/>
      <c r="T590" s="240"/>
      <c r="U590" s="240"/>
    </row>
    <row r="591" spans="1:21" ht="24.75" customHeight="1">
      <c r="A591" s="625"/>
      <c r="B591" s="464"/>
      <c r="C591" s="626"/>
      <c r="D591" s="15">
        <v>2023</v>
      </c>
      <c r="E591" s="80">
        <f t="shared" si="94"/>
        <v>5911.6</v>
      </c>
      <c r="F591" s="80">
        <v>5911.6</v>
      </c>
      <c r="G591" s="80">
        <f t="shared" si="97"/>
        <v>0</v>
      </c>
      <c r="H591" s="80"/>
      <c r="I591" s="80">
        <v>0</v>
      </c>
      <c r="J591" s="80">
        <v>0</v>
      </c>
      <c r="K591" s="80">
        <v>0</v>
      </c>
      <c r="L591" s="297" t="s">
        <v>63</v>
      </c>
      <c r="M591" s="610"/>
      <c r="Q591" s="240"/>
      <c r="R591" s="240"/>
      <c r="S591" s="240"/>
      <c r="T591" s="240"/>
      <c r="U591" s="240"/>
    </row>
    <row r="592" spans="1:21" ht="24.75" customHeight="1">
      <c r="A592" s="625"/>
      <c r="B592" s="464"/>
      <c r="C592" s="355"/>
      <c r="D592" s="301">
        <v>2024</v>
      </c>
      <c r="E592" s="143">
        <f t="shared" si="94"/>
        <v>5911.6</v>
      </c>
      <c r="F592" s="143">
        <v>5911.6</v>
      </c>
      <c r="G592" s="143">
        <f t="shared" si="97"/>
        <v>0</v>
      </c>
      <c r="H592" s="143"/>
      <c r="I592" s="143">
        <v>0</v>
      </c>
      <c r="J592" s="143">
        <v>0</v>
      </c>
      <c r="K592" s="143">
        <v>0</v>
      </c>
      <c r="L592" s="270" t="s">
        <v>63</v>
      </c>
      <c r="M592" s="627"/>
      <c r="Q592" s="240"/>
      <c r="R592" s="240"/>
      <c r="S592" s="240"/>
      <c r="T592" s="240"/>
      <c r="U592" s="240"/>
    </row>
    <row r="593" spans="1:21" ht="30.75" customHeight="1">
      <c r="A593" s="628"/>
      <c r="B593" s="629" t="s">
        <v>358</v>
      </c>
      <c r="C593" s="630"/>
      <c r="D593" s="181">
        <v>2017</v>
      </c>
      <c r="E593" s="576">
        <f t="shared" si="94"/>
        <v>5780.3</v>
      </c>
      <c r="F593" s="576">
        <f aca="true" t="shared" si="98" ref="F593:F598">F569+F577+F585</f>
        <v>5683.5</v>
      </c>
      <c r="G593" s="576">
        <f t="shared" si="97"/>
        <v>96.8</v>
      </c>
      <c r="H593" s="576">
        <f aca="true" t="shared" si="99" ref="H593:H598">H569+H577+H585</f>
        <v>0</v>
      </c>
      <c r="I593" s="576">
        <f aca="true" t="shared" si="100" ref="I593:I598">I569+I577+I585</f>
        <v>96.8</v>
      </c>
      <c r="J593" s="576">
        <f>J569+J577+J585</f>
        <v>0</v>
      </c>
      <c r="K593" s="631">
        <f>K569+K577+K585</f>
        <v>0</v>
      </c>
      <c r="L593" s="593"/>
      <c r="M593" s="597"/>
      <c r="Q593" s="240"/>
      <c r="R593" s="240"/>
      <c r="S593" s="240"/>
      <c r="T593" s="240"/>
      <c r="U593" s="240"/>
    </row>
    <row r="594" spans="1:21" ht="30.75" customHeight="1">
      <c r="A594" s="628"/>
      <c r="B594" s="629"/>
      <c r="C594" s="632"/>
      <c r="D594" s="183">
        <v>2018</v>
      </c>
      <c r="E594" s="83">
        <f t="shared" si="94"/>
        <v>6230.9</v>
      </c>
      <c r="F594" s="83">
        <f t="shared" si="98"/>
        <v>6103.599999999999</v>
      </c>
      <c r="G594" s="83">
        <f t="shared" si="97"/>
        <v>127.3</v>
      </c>
      <c r="H594" s="83">
        <f t="shared" si="99"/>
        <v>0</v>
      </c>
      <c r="I594" s="83">
        <f t="shared" si="100"/>
        <v>127.3</v>
      </c>
      <c r="J594" s="83">
        <v>0</v>
      </c>
      <c r="K594" s="633">
        <v>0</v>
      </c>
      <c r="L594" s="593"/>
      <c r="M594" s="597"/>
      <c r="Q594" s="240"/>
      <c r="R594" s="240"/>
      <c r="S594" s="240"/>
      <c r="T594" s="240"/>
      <c r="U594" s="240"/>
    </row>
    <row r="595" spans="1:21" ht="30.75" customHeight="1">
      <c r="A595" s="628"/>
      <c r="B595" s="629"/>
      <c r="C595" s="632"/>
      <c r="D595" s="183">
        <v>2019</v>
      </c>
      <c r="E595" s="83">
        <f aca="true" t="shared" si="101" ref="E595:E598">E571+E579+E587</f>
        <v>6710.3</v>
      </c>
      <c r="F595" s="83">
        <f t="shared" si="98"/>
        <v>6577.599999999999</v>
      </c>
      <c r="G595" s="83">
        <f aca="true" t="shared" si="102" ref="G595:G598">G571+G579+G587</f>
        <v>132.7</v>
      </c>
      <c r="H595" s="83">
        <f t="shared" si="99"/>
        <v>0</v>
      </c>
      <c r="I595" s="83">
        <f t="shared" si="100"/>
        <v>132.7</v>
      </c>
      <c r="J595" s="83">
        <f aca="true" t="shared" si="103" ref="J595:J598">J571+J579+J587</f>
        <v>0</v>
      </c>
      <c r="K595" s="633">
        <f aca="true" t="shared" si="104" ref="K595:K598">K571+K579+K587</f>
        <v>0</v>
      </c>
      <c r="L595" s="593"/>
      <c r="M595" s="597"/>
      <c r="Q595" s="240"/>
      <c r="R595" s="240"/>
      <c r="S595" s="240"/>
      <c r="T595" s="240"/>
      <c r="U595" s="240"/>
    </row>
    <row r="596" spans="1:21" ht="30.75" customHeight="1">
      <c r="A596" s="628"/>
      <c r="B596" s="629"/>
      <c r="C596" s="634"/>
      <c r="D596" s="183">
        <v>2020</v>
      </c>
      <c r="E596" s="83">
        <f t="shared" si="101"/>
        <v>5397.2</v>
      </c>
      <c r="F596" s="83">
        <f t="shared" si="98"/>
        <v>5397.2</v>
      </c>
      <c r="G596" s="83">
        <f t="shared" si="102"/>
        <v>0</v>
      </c>
      <c r="H596" s="83">
        <f t="shared" si="99"/>
        <v>0</v>
      </c>
      <c r="I596" s="83">
        <f t="shared" si="100"/>
        <v>0</v>
      </c>
      <c r="J596" s="83">
        <f t="shared" si="103"/>
        <v>0</v>
      </c>
      <c r="K596" s="633">
        <f t="shared" si="104"/>
        <v>0</v>
      </c>
      <c r="L596" s="593"/>
      <c r="M596" s="597"/>
      <c r="Q596" s="240"/>
      <c r="R596" s="240"/>
      <c r="S596" s="240"/>
      <c r="T596" s="240"/>
      <c r="U596" s="240"/>
    </row>
    <row r="597" spans="1:21" ht="30.75" customHeight="1">
      <c r="A597" s="628"/>
      <c r="B597" s="629"/>
      <c r="C597" s="634"/>
      <c r="D597" s="431">
        <v>2021</v>
      </c>
      <c r="E597" s="135">
        <f t="shared" si="101"/>
        <v>6616.4</v>
      </c>
      <c r="F597" s="135">
        <f t="shared" si="98"/>
        <v>6616.4</v>
      </c>
      <c r="G597" s="135">
        <f t="shared" si="102"/>
        <v>0</v>
      </c>
      <c r="H597" s="135">
        <f t="shared" si="99"/>
        <v>0</v>
      </c>
      <c r="I597" s="135">
        <f t="shared" si="100"/>
        <v>0</v>
      </c>
      <c r="J597" s="135">
        <f t="shared" si="103"/>
        <v>0</v>
      </c>
      <c r="K597" s="635">
        <f t="shared" si="104"/>
        <v>0</v>
      </c>
      <c r="L597" s="593"/>
      <c r="M597" s="597"/>
      <c r="Q597" s="240"/>
      <c r="R597" s="240"/>
      <c r="S597" s="240"/>
      <c r="T597" s="240"/>
      <c r="U597" s="240"/>
    </row>
    <row r="598" spans="1:21" ht="30.75" customHeight="1">
      <c r="A598" s="628"/>
      <c r="B598" s="629"/>
      <c r="C598" s="634"/>
      <c r="D598" s="431">
        <v>2022</v>
      </c>
      <c r="E598" s="135">
        <f t="shared" si="101"/>
        <v>6485</v>
      </c>
      <c r="F598" s="135">
        <f t="shared" si="98"/>
        <v>6485</v>
      </c>
      <c r="G598" s="135">
        <f t="shared" si="102"/>
        <v>0</v>
      </c>
      <c r="H598" s="135">
        <f t="shared" si="99"/>
        <v>0</v>
      </c>
      <c r="I598" s="135">
        <f t="shared" si="100"/>
        <v>0</v>
      </c>
      <c r="J598" s="135">
        <f t="shared" si="103"/>
        <v>0</v>
      </c>
      <c r="K598" s="635">
        <f t="shared" si="104"/>
        <v>0</v>
      </c>
      <c r="L598" s="593"/>
      <c r="M598" s="597"/>
      <c r="Q598" s="240"/>
      <c r="R598" s="240"/>
      <c r="S598" s="240"/>
      <c r="T598" s="240"/>
      <c r="U598" s="240"/>
    </row>
    <row r="599" spans="1:13" ht="30.75" customHeight="1">
      <c r="A599" s="628"/>
      <c r="B599" s="629"/>
      <c r="C599" s="634"/>
      <c r="D599" s="187">
        <v>2023</v>
      </c>
      <c r="E599" s="129">
        <f aca="true" t="shared" si="105" ref="E599:E600">E591+E583+E575</f>
        <v>6485.000000000001</v>
      </c>
      <c r="F599" s="129">
        <f aca="true" t="shared" si="106" ref="F599:F600">F591+F583+F575</f>
        <v>6485.000000000001</v>
      </c>
      <c r="G599" s="129">
        <f aca="true" t="shared" si="107" ref="G599:G600">G591+G583+G575</f>
        <v>0</v>
      </c>
      <c r="H599" s="129">
        <f aca="true" t="shared" si="108" ref="H599:H600">H591+H583+H575</f>
        <v>0</v>
      </c>
      <c r="I599" s="129">
        <f aca="true" t="shared" si="109" ref="I599:I600">I591+I583+I575</f>
        <v>0</v>
      </c>
      <c r="J599" s="129">
        <f aca="true" t="shared" si="110" ref="J599:J600">J591+J583+J575</f>
        <v>0</v>
      </c>
      <c r="K599" s="127">
        <f aca="true" t="shared" si="111" ref="K599:K600">K591+K583+K575</f>
        <v>0</v>
      </c>
      <c r="L599" s="593"/>
      <c r="M599" s="597"/>
    </row>
    <row r="600" spans="1:13" ht="30.75" customHeight="1">
      <c r="A600" s="628"/>
      <c r="B600" s="629"/>
      <c r="C600" s="636"/>
      <c r="D600" s="187">
        <v>2024</v>
      </c>
      <c r="E600" s="129">
        <f t="shared" si="105"/>
        <v>6485.000000000001</v>
      </c>
      <c r="F600" s="129">
        <f t="shared" si="106"/>
        <v>6485.000000000001</v>
      </c>
      <c r="G600" s="129">
        <f t="shared" si="107"/>
        <v>0</v>
      </c>
      <c r="H600" s="129">
        <f t="shared" si="108"/>
        <v>0</v>
      </c>
      <c r="I600" s="129">
        <f t="shared" si="109"/>
        <v>0</v>
      </c>
      <c r="J600" s="129">
        <f t="shared" si="110"/>
        <v>0</v>
      </c>
      <c r="K600" s="127">
        <f t="shared" si="111"/>
        <v>0</v>
      </c>
      <c r="L600" s="610"/>
      <c r="M600" s="573"/>
    </row>
    <row r="601" spans="1:13" ht="30.75" customHeight="1">
      <c r="A601" s="637" t="s">
        <v>359</v>
      </c>
      <c r="B601" s="637"/>
      <c r="C601" s="637"/>
      <c r="D601" s="637"/>
      <c r="E601" s="637"/>
      <c r="F601" s="637"/>
      <c r="G601" s="584"/>
      <c r="H601" s="584"/>
      <c r="I601" s="584"/>
      <c r="J601" s="584"/>
      <c r="K601" s="584"/>
      <c r="L601" s="584"/>
      <c r="M601" s="638"/>
    </row>
    <row r="602" spans="1:13" ht="30.75" customHeight="1">
      <c r="A602" s="639" t="s">
        <v>360</v>
      </c>
      <c r="B602" s="639"/>
      <c r="C602" s="639"/>
      <c r="D602" s="639"/>
      <c r="E602" s="639"/>
      <c r="F602" s="639"/>
      <c r="G602" s="640"/>
      <c r="H602" s="640"/>
      <c r="I602" s="640"/>
      <c r="J602" s="640"/>
      <c r="K602" s="640"/>
      <c r="L602" s="640"/>
      <c r="M602" s="641"/>
    </row>
    <row r="603" spans="1:13" ht="30.75" customHeight="1">
      <c r="A603" s="642" t="s">
        <v>302</v>
      </c>
      <c r="B603" s="589"/>
      <c r="C603" s="643"/>
      <c r="D603" s="640"/>
      <c r="E603" s="640"/>
      <c r="F603" s="640"/>
      <c r="G603" s="640"/>
      <c r="H603" s="640"/>
      <c r="I603" s="640"/>
      <c r="J603" s="640"/>
      <c r="K603" s="640"/>
      <c r="L603" s="640"/>
      <c r="M603" s="641"/>
    </row>
    <row r="604" spans="1:16" ht="30.75" customHeight="1">
      <c r="A604" s="644" t="s">
        <v>361</v>
      </c>
      <c r="B604" s="13" t="s">
        <v>362</v>
      </c>
      <c r="C604" s="13"/>
      <c r="D604" s="187">
        <v>2021</v>
      </c>
      <c r="E604" s="129">
        <f aca="true" t="shared" si="112" ref="E604:E607">F604+G604+J604+K604</f>
        <v>567.3552</v>
      </c>
      <c r="F604" s="129"/>
      <c r="G604" s="129">
        <f aca="true" t="shared" si="113" ref="G604:G607">H604+I604</f>
        <v>0</v>
      </c>
      <c r="H604" s="129"/>
      <c r="I604" s="129">
        <v>0</v>
      </c>
      <c r="J604" s="129">
        <v>567.3552</v>
      </c>
      <c r="K604" s="127">
        <v>0</v>
      </c>
      <c r="L604" s="218" t="s">
        <v>363</v>
      </c>
      <c r="M604" s="645"/>
      <c r="N604" s="646"/>
      <c r="O604" s="646"/>
      <c r="P604" s="646"/>
    </row>
    <row r="605" spans="1:16" ht="30.75" customHeight="1">
      <c r="A605" s="644"/>
      <c r="B605" s="13"/>
      <c r="C605" s="13"/>
      <c r="D605" s="187">
        <v>2022</v>
      </c>
      <c r="E605" s="129">
        <f t="shared" si="112"/>
        <v>1316.556</v>
      </c>
      <c r="F605" s="129"/>
      <c r="G605" s="129">
        <f t="shared" si="113"/>
        <v>0</v>
      </c>
      <c r="H605" s="129"/>
      <c r="I605" s="129">
        <v>0</v>
      </c>
      <c r="J605" s="129">
        <v>1316.556</v>
      </c>
      <c r="K605" s="127">
        <v>0</v>
      </c>
      <c r="L605" s="218"/>
      <c r="M605" s="645"/>
      <c r="N605" s="646"/>
      <c r="O605" s="646"/>
      <c r="P605" s="646"/>
    </row>
    <row r="606" spans="1:13" ht="30.75" customHeight="1">
      <c r="A606" s="644"/>
      <c r="B606" s="13"/>
      <c r="C606" s="13"/>
      <c r="D606" s="187">
        <v>2023</v>
      </c>
      <c r="E606" s="129">
        <f t="shared" si="112"/>
        <v>0</v>
      </c>
      <c r="F606" s="129"/>
      <c r="G606" s="129">
        <f t="shared" si="113"/>
        <v>0</v>
      </c>
      <c r="H606" s="129"/>
      <c r="I606" s="129">
        <v>0</v>
      </c>
      <c r="J606" s="129">
        <v>0</v>
      </c>
      <c r="K606" s="127">
        <v>0</v>
      </c>
      <c r="L606" s="218"/>
      <c r="M606" s="218"/>
    </row>
    <row r="607" spans="1:13" ht="30.75" customHeight="1">
      <c r="A607" s="6"/>
      <c r="B607" s="647"/>
      <c r="C607" s="13"/>
      <c r="D607" s="187">
        <v>2024</v>
      </c>
      <c r="E607" s="129">
        <f t="shared" si="112"/>
        <v>0</v>
      </c>
      <c r="F607" s="129"/>
      <c r="G607" s="129">
        <f t="shared" si="113"/>
        <v>0</v>
      </c>
      <c r="H607" s="129"/>
      <c r="I607" s="129">
        <v>0</v>
      </c>
      <c r="J607" s="129">
        <v>0</v>
      </c>
      <c r="K607" s="127">
        <v>0</v>
      </c>
      <c r="L607" s="218"/>
      <c r="M607" s="218"/>
    </row>
    <row r="608" spans="1:13" ht="30.75" customHeight="1">
      <c r="A608" s="648"/>
      <c r="B608" s="649" t="s">
        <v>364</v>
      </c>
      <c r="C608" s="650"/>
      <c r="D608" s="187">
        <v>2021</v>
      </c>
      <c r="E608" s="129">
        <f aca="true" t="shared" si="114" ref="E608:E611">E604</f>
        <v>567.3552</v>
      </c>
      <c r="F608" s="129">
        <f aca="true" t="shared" si="115" ref="F608:F610">F604</f>
        <v>0</v>
      </c>
      <c r="G608" s="129">
        <f aca="true" t="shared" si="116" ref="G608:G610">G604</f>
        <v>0</v>
      </c>
      <c r="H608" s="129">
        <f aca="true" t="shared" si="117" ref="H608:H610">H604</f>
        <v>0</v>
      </c>
      <c r="I608" s="129">
        <f aca="true" t="shared" si="118" ref="I608:I610">I604</f>
        <v>0</v>
      </c>
      <c r="J608" s="129">
        <f aca="true" t="shared" si="119" ref="J608:J611">J604</f>
        <v>567.3552</v>
      </c>
      <c r="K608" s="129">
        <f aca="true" t="shared" si="120" ref="K608:K610">K604</f>
        <v>0</v>
      </c>
      <c r="L608" s="651"/>
      <c r="M608" s="337"/>
    </row>
    <row r="609" spans="1:13" ht="30.75" customHeight="1">
      <c r="A609" s="648"/>
      <c r="B609" s="649"/>
      <c r="C609" s="650"/>
      <c r="D609" s="187">
        <v>2022</v>
      </c>
      <c r="E609" s="129">
        <f t="shared" si="114"/>
        <v>1316.556</v>
      </c>
      <c r="F609" s="129">
        <f t="shared" si="115"/>
        <v>0</v>
      </c>
      <c r="G609" s="129">
        <f t="shared" si="116"/>
        <v>0</v>
      </c>
      <c r="H609" s="129">
        <f t="shared" si="117"/>
        <v>0</v>
      </c>
      <c r="I609" s="129">
        <f t="shared" si="118"/>
        <v>0</v>
      </c>
      <c r="J609" s="129">
        <f t="shared" si="119"/>
        <v>1316.556</v>
      </c>
      <c r="K609" s="129">
        <f t="shared" si="120"/>
        <v>0</v>
      </c>
      <c r="L609" s="651"/>
      <c r="M609" s="337"/>
    </row>
    <row r="610" spans="1:13" ht="30.75" customHeight="1">
      <c r="A610" s="648"/>
      <c r="B610" s="649"/>
      <c r="C610" s="650"/>
      <c r="D610" s="572">
        <v>2023</v>
      </c>
      <c r="E610" s="153">
        <f t="shared" si="114"/>
        <v>0</v>
      </c>
      <c r="F610" s="153">
        <f t="shared" si="115"/>
        <v>0</v>
      </c>
      <c r="G610" s="153">
        <f t="shared" si="116"/>
        <v>0</v>
      </c>
      <c r="H610" s="153">
        <f t="shared" si="117"/>
        <v>0</v>
      </c>
      <c r="I610" s="153">
        <f t="shared" si="118"/>
        <v>0</v>
      </c>
      <c r="J610" s="153">
        <f t="shared" si="119"/>
        <v>0</v>
      </c>
      <c r="K610" s="153">
        <f t="shared" si="120"/>
        <v>0</v>
      </c>
      <c r="L610" s="651"/>
      <c r="M610" s="337"/>
    </row>
    <row r="611" spans="1:13" ht="30.75" customHeight="1">
      <c r="A611" s="648"/>
      <c r="B611" s="649"/>
      <c r="C611" s="652"/>
      <c r="D611" s="572">
        <v>2024</v>
      </c>
      <c r="E611" s="153">
        <f t="shared" si="114"/>
        <v>0</v>
      </c>
      <c r="F611" s="153">
        <f>F608</f>
        <v>0</v>
      </c>
      <c r="G611" s="153">
        <f>G608</f>
        <v>0</v>
      </c>
      <c r="H611" s="153">
        <f>H608</f>
        <v>0</v>
      </c>
      <c r="I611" s="153">
        <f>I608</f>
        <v>0</v>
      </c>
      <c r="J611" s="153">
        <f t="shared" si="119"/>
        <v>0</v>
      </c>
      <c r="K611" s="153">
        <f>K608</f>
        <v>0</v>
      </c>
      <c r="L611" s="653"/>
      <c r="M611" s="654"/>
    </row>
    <row r="612" spans="1:13" ht="49.5" customHeight="1">
      <c r="A612" s="655"/>
      <c r="B612" s="656" t="s">
        <v>365</v>
      </c>
      <c r="C612" s="657"/>
      <c r="D612" s="658" t="s">
        <v>366</v>
      </c>
      <c r="E612" s="659">
        <f>SUM(E613:E632)</f>
        <v>2174597.47865</v>
      </c>
      <c r="F612" s="659">
        <f>SUM(F613:F632)</f>
        <v>1252164.8</v>
      </c>
      <c r="G612" s="659">
        <f>SUM(G613:G632)</f>
        <v>62575.314</v>
      </c>
      <c r="H612" s="659">
        <f>SUM(H613:H632)</f>
        <v>34496.5</v>
      </c>
      <c r="I612" s="659">
        <f>SUM(I613:I632)</f>
        <v>28078.814</v>
      </c>
      <c r="J612" s="659">
        <f>J613+J614+J615+J616+J617+J618+J631+J632</f>
        <v>859857.3646500001</v>
      </c>
      <c r="K612" s="659">
        <f>SUM(K613:K632)</f>
        <v>0</v>
      </c>
      <c r="L612" s="660"/>
      <c r="M612" s="595"/>
    </row>
    <row r="613" spans="1:13" ht="33" customHeight="1">
      <c r="A613" s="655"/>
      <c r="B613" s="656"/>
      <c r="C613" s="661"/>
      <c r="D613" s="373">
        <v>2017</v>
      </c>
      <c r="E613" s="662">
        <f aca="true" t="shared" si="121" ref="E613:E614">F613+G613+J613+K613</f>
        <v>259771.653</v>
      </c>
      <c r="F613" s="662">
        <f aca="true" t="shared" si="122" ref="F613:F616">F233+F424+F547+F558+F593</f>
        <v>130298.7</v>
      </c>
      <c r="G613" s="662">
        <f aca="true" t="shared" si="123" ref="G613:G616">G233+G424+G547+G558+G593</f>
        <v>1029</v>
      </c>
      <c r="H613" s="662">
        <f aca="true" t="shared" si="124" ref="H613:H616">H233+H424+H547+H558+H593</f>
        <v>0</v>
      </c>
      <c r="I613" s="662">
        <f>I233+I424+I547+I558+I593</f>
        <v>1029</v>
      </c>
      <c r="J613" s="662">
        <f>J233+J424+J547+J558+J593</f>
        <v>128443.953</v>
      </c>
      <c r="K613" s="662">
        <f aca="true" t="shared" si="125" ref="K613:K616">K233+K424+K547+K558+K593</f>
        <v>0</v>
      </c>
      <c r="L613" s="660"/>
      <c r="M613" s="595"/>
    </row>
    <row r="614" spans="1:13" ht="30.75" customHeight="1">
      <c r="A614" s="655"/>
      <c r="B614" s="656"/>
      <c r="C614" s="661"/>
      <c r="D614" s="373">
        <v>2018</v>
      </c>
      <c r="E614" s="662">
        <f t="shared" si="121"/>
        <v>256780.11129000003</v>
      </c>
      <c r="F614" s="662">
        <f t="shared" si="122"/>
        <v>143448.1</v>
      </c>
      <c r="G614" s="662">
        <f t="shared" si="123"/>
        <v>1296.482</v>
      </c>
      <c r="H614" s="662">
        <f t="shared" si="124"/>
        <v>0</v>
      </c>
      <c r="I614" s="662">
        <f>I594+I559+I548+I425+I234</f>
        <v>1296.4820000000002</v>
      </c>
      <c r="J614" s="662">
        <f>J594+J559+J548+J425+J234</f>
        <v>112035.52929000002</v>
      </c>
      <c r="K614" s="662">
        <f t="shared" si="125"/>
        <v>0</v>
      </c>
      <c r="L614" s="660"/>
      <c r="M614" s="595"/>
    </row>
    <row r="615" spans="1:13" ht="30.75" customHeight="1">
      <c r="A615" s="655"/>
      <c r="B615" s="656"/>
      <c r="C615" s="661"/>
      <c r="D615" s="373">
        <v>2019</v>
      </c>
      <c r="E615" s="662">
        <f aca="true" t="shared" si="126" ref="E615:E616">E235+E426+E549+E560+E595</f>
        <v>274699.70717</v>
      </c>
      <c r="F615" s="662">
        <f t="shared" si="122"/>
        <v>157111.4</v>
      </c>
      <c r="G615" s="662">
        <f t="shared" si="123"/>
        <v>3375.852</v>
      </c>
      <c r="H615" s="662">
        <f t="shared" si="124"/>
        <v>0</v>
      </c>
      <c r="I615" s="662">
        <f aca="true" t="shared" si="127" ref="I615:I616">I235+I426+I549+I560+I595</f>
        <v>3375.852</v>
      </c>
      <c r="J615" s="662">
        <f aca="true" t="shared" si="128" ref="J615:J616">J235+J426+J549+J560+J595</f>
        <v>114212.45517</v>
      </c>
      <c r="K615" s="662">
        <f t="shared" si="125"/>
        <v>0</v>
      </c>
      <c r="L615" s="660"/>
      <c r="M615" s="595"/>
    </row>
    <row r="616" spans="1:13" ht="30.75" customHeight="1">
      <c r="A616" s="655"/>
      <c r="B616" s="656"/>
      <c r="C616" s="661"/>
      <c r="D616" s="373">
        <v>2020</v>
      </c>
      <c r="E616" s="662">
        <f t="shared" si="126"/>
        <v>274920.2059</v>
      </c>
      <c r="F616" s="662">
        <f t="shared" si="122"/>
        <v>156504.2</v>
      </c>
      <c r="G616" s="662">
        <f t="shared" si="123"/>
        <v>7019.299999999999</v>
      </c>
      <c r="H616" s="662">
        <f t="shared" si="124"/>
        <v>3073.8</v>
      </c>
      <c r="I616" s="662">
        <f t="shared" si="127"/>
        <v>3945.5</v>
      </c>
      <c r="J616" s="662">
        <f t="shared" si="128"/>
        <v>111396.70589999999</v>
      </c>
      <c r="K616" s="662">
        <f t="shared" si="125"/>
        <v>0</v>
      </c>
      <c r="L616" s="660"/>
      <c r="M616" s="595"/>
    </row>
    <row r="617" spans="1:13" ht="30.75" customHeight="1">
      <c r="A617" s="655"/>
      <c r="B617" s="656"/>
      <c r="C617" s="661"/>
      <c r="D617" s="373">
        <v>2021</v>
      </c>
      <c r="E617" s="662">
        <f aca="true" t="shared" si="129" ref="E617:E618">E237+E428+E551+E562+E597+E608</f>
        <v>287576.66265</v>
      </c>
      <c r="F617" s="662">
        <f aca="true" t="shared" si="130" ref="F617:F618">F237+F428+F551+F562+F597+F608</f>
        <v>163731.4</v>
      </c>
      <c r="G617" s="662">
        <f aca="true" t="shared" si="131" ref="G617:G618">G237+G428+G551+G562+G597+G608</f>
        <v>14635.72</v>
      </c>
      <c r="H617" s="662">
        <f aca="true" t="shared" si="132" ref="H617:H618">H237+H428+H551+H562+H597+H608</f>
        <v>12507.9</v>
      </c>
      <c r="I617" s="662">
        <f aca="true" t="shared" si="133" ref="I617:I618">I237+I428+I551+I562+I597+I608</f>
        <v>2127.8199999999997</v>
      </c>
      <c r="J617" s="662">
        <f aca="true" t="shared" si="134" ref="J617:J618">J237+J428+J551+J562+J597+J608</f>
        <v>109209.54264999999</v>
      </c>
      <c r="K617" s="662">
        <f>K237+K428+K551+K562+K597+K608</f>
        <v>0</v>
      </c>
      <c r="L617" s="660"/>
      <c r="M617" s="595"/>
    </row>
    <row r="618" spans="1:13" ht="27" customHeight="1">
      <c r="A618" s="655"/>
      <c r="B618" s="656"/>
      <c r="C618" s="661"/>
      <c r="D618" s="373">
        <v>2022</v>
      </c>
      <c r="E618" s="662">
        <f t="shared" si="129"/>
        <v>283544.19464</v>
      </c>
      <c r="F618" s="662">
        <f t="shared" si="130"/>
        <v>166976.99999999997</v>
      </c>
      <c r="G618" s="662">
        <f t="shared" si="131"/>
        <v>16393.46</v>
      </c>
      <c r="H618" s="662">
        <f t="shared" si="132"/>
        <v>6806.299999999999</v>
      </c>
      <c r="I618" s="662">
        <f t="shared" si="133"/>
        <v>9587.16</v>
      </c>
      <c r="J618" s="662">
        <f t="shared" si="134"/>
        <v>100173.73464000002</v>
      </c>
      <c r="K618" s="662">
        <f>K238+K429+K552+K563+K598</f>
        <v>0</v>
      </c>
      <c r="L618" s="660"/>
      <c r="M618" s="595"/>
    </row>
    <row r="619" spans="1:13" ht="25.5" customHeight="1" hidden="1">
      <c r="A619" s="655"/>
      <c r="B619" s="656"/>
      <c r="C619" s="661"/>
      <c r="D619" s="663"/>
      <c r="E619" s="664"/>
      <c r="F619" s="665"/>
      <c r="G619" s="665"/>
      <c r="H619" s="666"/>
      <c r="I619" s="364"/>
      <c r="J619" s="662">
        <f>J240+J431+J553+J565+J599</f>
        <v>92211.156</v>
      </c>
      <c r="K619" s="666"/>
      <c r="L619" s="660"/>
      <c r="M619" s="595"/>
    </row>
    <row r="620" spans="1:13" ht="25.5" customHeight="1" hidden="1">
      <c r="A620" s="655"/>
      <c r="B620" s="656"/>
      <c r="C620" s="661"/>
      <c r="D620" s="663"/>
      <c r="E620" s="664"/>
      <c r="F620" s="667"/>
      <c r="G620" s="667"/>
      <c r="H620" s="364"/>
      <c r="I620" s="668"/>
      <c r="J620" s="662" t="e">
        <f>#N/A</f>
        <v>#REF!</v>
      </c>
      <c r="K620" s="364"/>
      <c r="L620" s="660"/>
      <c r="M620" s="595"/>
    </row>
    <row r="621" spans="1:13" ht="15.75" customHeight="1" hidden="1">
      <c r="A621" s="655"/>
      <c r="B621" s="656"/>
      <c r="C621" s="661"/>
      <c r="D621" s="663"/>
      <c r="E621" s="664"/>
      <c r="F621" s="667"/>
      <c r="G621" s="667"/>
      <c r="H621" s="364"/>
      <c r="I621" s="364"/>
      <c r="J621" s="662">
        <f aca="true" t="shared" si="135" ref="J621:J628">J242+J433+J556+J567+J612</f>
        <v>859857.3646500001</v>
      </c>
      <c r="K621" s="364"/>
      <c r="L621" s="660"/>
      <c r="M621" s="595"/>
    </row>
    <row r="622" spans="1:13" ht="24.75" customHeight="1" hidden="1">
      <c r="A622" s="655"/>
      <c r="B622" s="656"/>
      <c r="C622" s="661"/>
      <c r="D622" s="663"/>
      <c r="E622" s="664"/>
      <c r="F622" s="667"/>
      <c r="G622" s="667"/>
      <c r="H622" s="364"/>
      <c r="I622" s="669"/>
      <c r="J622" s="662">
        <f t="shared" si="135"/>
        <v>128443.953</v>
      </c>
      <c r="K622" s="364"/>
      <c r="L622" s="660"/>
      <c r="M622" s="595"/>
    </row>
    <row r="623" spans="1:13" ht="13.5" customHeight="1" hidden="1">
      <c r="A623" s="655"/>
      <c r="B623" s="656"/>
      <c r="C623" s="661"/>
      <c r="D623" s="663"/>
      <c r="E623" s="664"/>
      <c r="F623" s="667"/>
      <c r="G623" s="667"/>
      <c r="H623" s="364"/>
      <c r="I623" s="364"/>
      <c r="J623" s="662">
        <f t="shared" si="135"/>
        <v>194534.05629000004</v>
      </c>
      <c r="K623" s="364"/>
      <c r="L623" s="660"/>
      <c r="M623" s="595"/>
    </row>
    <row r="624" spans="1:13" ht="27.75" customHeight="1" hidden="1">
      <c r="A624" s="655"/>
      <c r="B624" s="656"/>
      <c r="C624" s="661"/>
      <c r="D624" s="663"/>
      <c r="E624" s="664"/>
      <c r="F624" s="667"/>
      <c r="G624" s="667"/>
      <c r="H624" s="364"/>
      <c r="I624" s="364"/>
      <c r="J624" s="662">
        <f t="shared" si="135"/>
        <v>148066.61367</v>
      </c>
      <c r="K624" s="364"/>
      <c r="L624" s="660"/>
      <c r="M624" s="595"/>
    </row>
    <row r="625" spans="1:13" ht="18.75" customHeight="1" hidden="1">
      <c r="A625" s="655"/>
      <c r="B625" s="656"/>
      <c r="C625" s="661"/>
      <c r="D625" s="663"/>
      <c r="E625" s="664"/>
      <c r="F625" s="667"/>
      <c r="G625" s="667"/>
      <c r="H625" s="364"/>
      <c r="I625" s="364"/>
      <c r="J625" s="662">
        <f t="shared" si="135"/>
        <v>151132.50723</v>
      </c>
      <c r="K625" s="364"/>
      <c r="L625" s="660"/>
      <c r="M625" s="595"/>
    </row>
    <row r="626" spans="1:13" ht="18.75" customHeight="1" hidden="1">
      <c r="A626" s="655"/>
      <c r="B626" s="656"/>
      <c r="C626" s="661"/>
      <c r="D626" s="663"/>
      <c r="E626" s="664"/>
      <c r="F626" s="667"/>
      <c r="G626" s="667"/>
      <c r="H626" s="364"/>
      <c r="I626" s="364"/>
      <c r="J626" s="662">
        <f t="shared" si="135"/>
        <v>160018.48565</v>
      </c>
      <c r="K626" s="364"/>
      <c r="L626" s="660"/>
      <c r="M626" s="595"/>
    </row>
    <row r="627" spans="1:13" ht="27" customHeight="1" hidden="1">
      <c r="A627" s="655"/>
      <c r="B627" s="656"/>
      <c r="C627" s="661"/>
      <c r="D627" s="663"/>
      <c r="E627" s="664"/>
      <c r="F627" s="667"/>
      <c r="G627" s="667"/>
      <c r="H627" s="364"/>
      <c r="I627" s="364"/>
      <c r="J627" s="662">
        <f t="shared" si="135"/>
        <v>111135.86276000002</v>
      </c>
      <c r="K627" s="364"/>
      <c r="L627" s="660"/>
      <c r="M627" s="595"/>
    </row>
    <row r="628" spans="1:13" ht="22.5" customHeight="1" hidden="1">
      <c r="A628" s="655"/>
      <c r="B628" s="656"/>
      <c r="C628" s="661"/>
      <c r="D628" s="663"/>
      <c r="E628" s="664"/>
      <c r="F628" s="670"/>
      <c r="G628" s="670"/>
      <c r="H628" s="364"/>
      <c r="I628" s="364"/>
      <c r="J628" s="662">
        <f t="shared" si="135"/>
        <v>112079.66918</v>
      </c>
      <c r="K628" s="364"/>
      <c r="L628" s="660"/>
      <c r="M628" s="595"/>
    </row>
    <row r="629" spans="1:13" ht="18" customHeight="1" hidden="1">
      <c r="A629" s="655"/>
      <c r="B629" s="656"/>
      <c r="C629" s="661"/>
      <c r="D629" s="671"/>
      <c r="E629" s="664"/>
      <c r="F629" s="364"/>
      <c r="G629" s="364"/>
      <c r="H629" s="364"/>
      <c r="I629" s="364"/>
      <c r="J629" s="662" t="e">
        <f>J250+J441+J565+J575+J620</f>
        <v>#REF!</v>
      </c>
      <c r="K629" s="364"/>
      <c r="L629" s="660"/>
      <c r="M629" s="595"/>
    </row>
    <row r="630" spans="1:13" ht="22.5" customHeight="1" hidden="1">
      <c r="A630" s="655"/>
      <c r="B630" s="656"/>
      <c r="C630" s="661"/>
      <c r="D630" s="364"/>
      <c r="E630" s="664"/>
      <c r="F630" s="364"/>
      <c r="G630" s="364"/>
      <c r="H630" s="364"/>
      <c r="I630" s="364"/>
      <c r="J630" s="662">
        <f>J251+J442+J566+J577+J621</f>
        <v>871720.6496500002</v>
      </c>
      <c r="K630" s="364"/>
      <c r="L630" s="660"/>
      <c r="M630" s="595"/>
    </row>
    <row r="631" spans="1:13" ht="27" customHeight="1">
      <c r="A631" s="655"/>
      <c r="B631" s="656"/>
      <c r="C631" s="661"/>
      <c r="D631" s="672">
        <v>2023</v>
      </c>
      <c r="E631" s="662">
        <f aca="true" t="shared" si="136" ref="E631:E632">E599+E564+E553+E430+E239+E610</f>
        <v>268688.588</v>
      </c>
      <c r="F631" s="662">
        <f aca="true" t="shared" si="137" ref="F631:F632">F599+F564+F553+F430+F239+F610</f>
        <v>167047</v>
      </c>
      <c r="G631" s="662">
        <f aca="true" t="shared" si="138" ref="G631:G632">G599+G564+G553+G430+G239+G610</f>
        <v>9451.8</v>
      </c>
      <c r="H631" s="662">
        <f aca="true" t="shared" si="139" ref="H631:H632">H599+H564+H553+H430+H239+H610</f>
        <v>6093.299999999999</v>
      </c>
      <c r="I631" s="662">
        <f aca="true" t="shared" si="140" ref="I631:I632">I599+I564+I553+I430+I239+I610</f>
        <v>3358.5</v>
      </c>
      <c r="J631" s="662">
        <f aca="true" t="shared" si="141" ref="J631:J632">J599+J564+J553+J430+J239+J610</f>
        <v>92189.788</v>
      </c>
      <c r="K631" s="662">
        <f>K599+K565+K553+K431+K240+K610</f>
        <v>0</v>
      </c>
      <c r="L631" s="660"/>
      <c r="M631" s="595"/>
    </row>
    <row r="632" spans="1:13" ht="27" customHeight="1">
      <c r="A632" s="655"/>
      <c r="B632" s="656"/>
      <c r="C632" s="673"/>
      <c r="D632" s="674">
        <v>2024</v>
      </c>
      <c r="E632" s="675">
        <f t="shared" si="136"/>
        <v>268616.356</v>
      </c>
      <c r="F632" s="675">
        <f t="shared" si="137"/>
        <v>167047</v>
      </c>
      <c r="G632" s="675">
        <f t="shared" si="138"/>
        <v>9373.7</v>
      </c>
      <c r="H632" s="675">
        <f t="shared" si="139"/>
        <v>6015.2</v>
      </c>
      <c r="I632" s="675">
        <f t="shared" si="140"/>
        <v>3358.5</v>
      </c>
      <c r="J632" s="675">
        <f t="shared" si="141"/>
        <v>92195.65599999999</v>
      </c>
      <c r="K632" s="675">
        <f>K600+K565+K554+K431+K240+K611</f>
        <v>0</v>
      </c>
      <c r="L632" s="202"/>
      <c r="M632" s="676"/>
    </row>
    <row r="633" spans="2:9" ht="21" customHeight="1">
      <c r="B633" s="677"/>
      <c r="C633" s="678"/>
      <c r="E633" s="679"/>
      <c r="F633" s="680"/>
      <c r="G633" s="680"/>
      <c r="I633" s="681"/>
    </row>
    <row r="634" spans="2:7" ht="21" customHeight="1">
      <c r="B634" s="677"/>
      <c r="C634" s="678"/>
      <c r="D634" s="682"/>
      <c r="E634" s="683"/>
      <c r="F634" s="684"/>
      <c r="G634" s="684"/>
    </row>
    <row r="635" spans="2:3" ht="18.75" customHeight="1">
      <c r="B635" s="685"/>
      <c r="C635" s="686"/>
    </row>
    <row r="636" spans="2:9" ht="22.5" customHeight="1">
      <c r="B636" s="687"/>
      <c r="D636" s="688">
        <v>2021</v>
      </c>
      <c r="E636" s="689">
        <f aca="true" t="shared" si="142" ref="E636:E637">E617-K617</f>
        <v>287576.66265</v>
      </c>
      <c r="F636" s="690"/>
      <c r="G636" s="690">
        <v>287179.06265</v>
      </c>
      <c r="H636" s="689">
        <f aca="true" t="shared" si="143" ref="H636:H639">G636-E636</f>
        <v>-397.6000000000349</v>
      </c>
      <c r="I636" s="690"/>
    </row>
    <row r="637" spans="2:9" ht="23.25" customHeight="1">
      <c r="B637" s="687"/>
      <c r="D637" s="2">
        <v>2022</v>
      </c>
      <c r="E637" s="689">
        <f t="shared" si="142"/>
        <v>283544.19464</v>
      </c>
      <c r="F637" s="690"/>
      <c r="G637" s="690">
        <v>283544.19464</v>
      </c>
      <c r="H637" s="689">
        <f t="shared" si="143"/>
        <v>0</v>
      </c>
      <c r="I637" s="690"/>
    </row>
    <row r="638" spans="2:9" ht="23.25" customHeight="1">
      <c r="B638" s="687"/>
      <c r="D638" s="2">
        <v>2023</v>
      </c>
      <c r="E638" s="689">
        <f aca="true" t="shared" si="144" ref="E638:E639">E631-K631</f>
        <v>268688.588</v>
      </c>
      <c r="F638" s="690"/>
      <c r="G638" s="690">
        <v>268688.588</v>
      </c>
      <c r="H638" s="689">
        <f t="shared" si="143"/>
        <v>0</v>
      </c>
      <c r="I638" s="690"/>
    </row>
    <row r="639" spans="4:9" ht="23.25" customHeight="1">
      <c r="D639" s="2">
        <v>2024</v>
      </c>
      <c r="E639" s="689">
        <f t="shared" si="144"/>
        <v>268616.356</v>
      </c>
      <c r="F639" s="690"/>
      <c r="G639" s="690">
        <v>268616.356</v>
      </c>
      <c r="H639" s="689">
        <f t="shared" si="143"/>
        <v>0</v>
      </c>
      <c r="I639" s="690"/>
    </row>
    <row r="640" spans="2:9" ht="23.25" customHeight="1">
      <c r="B640" s="3"/>
      <c r="E640" s="690"/>
      <c r="F640" s="690"/>
      <c r="G640" s="690"/>
      <c r="H640" s="690"/>
      <c r="I640" s="690"/>
    </row>
    <row r="641" ht="18.75" customHeight="1">
      <c r="H641" s="3"/>
    </row>
    <row r="643" ht="18.75" customHeight="1">
      <c r="J643" s="280"/>
    </row>
  </sheetData>
  <sheetProtection selectLockedCells="1" selectUnlockedCells="1"/>
  <mergeCells count="258">
    <mergeCell ref="J1:M1"/>
    <mergeCell ref="J2:M2"/>
    <mergeCell ref="B3:L3"/>
    <mergeCell ref="A5:A9"/>
    <mergeCell ref="B5:C9"/>
    <mergeCell ref="D5:D9"/>
    <mergeCell ref="E5:E9"/>
    <mergeCell ref="F5:J5"/>
    <mergeCell ref="K5:K9"/>
    <mergeCell ref="L5:L9"/>
    <mergeCell ref="M5:M9"/>
    <mergeCell ref="F6:F9"/>
    <mergeCell ref="G6:J6"/>
    <mergeCell ref="G7:I7"/>
    <mergeCell ref="J7:J9"/>
    <mergeCell ref="G8:G9"/>
    <mergeCell ref="H8:I8"/>
    <mergeCell ref="B10:C10"/>
    <mergeCell ref="A11:M11"/>
    <mergeCell ref="A12:M12"/>
    <mergeCell ref="A13:M13"/>
    <mergeCell ref="A14:M14"/>
    <mergeCell ref="A15:A20"/>
    <mergeCell ref="B15:B22"/>
    <mergeCell ref="M15:M24"/>
    <mergeCell ref="A23:A24"/>
    <mergeCell ref="B23:B24"/>
    <mergeCell ref="A25:A28"/>
    <mergeCell ref="B25:B29"/>
    <mergeCell ref="M25:M28"/>
    <mergeCell ref="A30:A32"/>
    <mergeCell ref="B30:B32"/>
    <mergeCell ref="M30:M31"/>
    <mergeCell ref="A33:A35"/>
    <mergeCell ref="B33:B35"/>
    <mergeCell ref="M33:M42"/>
    <mergeCell ref="A43:A44"/>
    <mergeCell ref="B43:B44"/>
    <mergeCell ref="B45:B48"/>
    <mergeCell ref="A50:A56"/>
    <mergeCell ref="B50:C56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5"/>
    <mergeCell ref="B57:C64"/>
    <mergeCell ref="A65:A72"/>
    <mergeCell ref="B65:C72"/>
    <mergeCell ref="M65:M70"/>
    <mergeCell ref="A73:A74"/>
    <mergeCell ref="B73:C74"/>
    <mergeCell ref="A75:A79"/>
    <mergeCell ref="B75:C79"/>
    <mergeCell ref="A80:A85"/>
    <mergeCell ref="B80:C85"/>
    <mergeCell ref="M80:M85"/>
    <mergeCell ref="A86:A93"/>
    <mergeCell ref="B86:C93"/>
    <mergeCell ref="M86:M89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A94:A100"/>
    <mergeCell ref="B94:C100"/>
    <mergeCell ref="M94:M99"/>
    <mergeCell ref="A101:A108"/>
    <mergeCell ref="B101:C108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7"/>
    <mergeCell ref="A109:A113"/>
    <mergeCell ref="B109:C113"/>
    <mergeCell ref="M109:M113"/>
    <mergeCell ref="A114:A168"/>
    <mergeCell ref="B114:C152"/>
    <mergeCell ref="D114:D120"/>
    <mergeCell ref="E114:E120"/>
    <mergeCell ref="M114:M191"/>
    <mergeCell ref="D121:D128"/>
    <mergeCell ref="E121:E128"/>
    <mergeCell ref="D129:D136"/>
    <mergeCell ref="E129:E136"/>
    <mergeCell ref="D137:D144"/>
    <mergeCell ref="E137:E144"/>
    <mergeCell ref="D145:D153"/>
    <mergeCell ref="E145:E153"/>
    <mergeCell ref="B153:C153"/>
    <mergeCell ref="D154:D161"/>
    <mergeCell ref="E155:E161"/>
    <mergeCell ref="D162:D168"/>
    <mergeCell ref="E163:E168"/>
    <mergeCell ref="A169:A207"/>
    <mergeCell ref="B169:C207"/>
    <mergeCell ref="D169:D175"/>
    <mergeCell ref="E169:E175"/>
    <mergeCell ref="D176:D183"/>
    <mergeCell ref="E176:E183"/>
    <mergeCell ref="D184:D191"/>
    <mergeCell ref="E184:E191"/>
    <mergeCell ref="D192:D199"/>
    <mergeCell ref="E192:E199"/>
    <mergeCell ref="D201:D207"/>
    <mergeCell ref="E201:E207"/>
    <mergeCell ref="A208:A214"/>
    <mergeCell ref="B208:C214"/>
    <mergeCell ref="M208:M213"/>
    <mergeCell ref="B215:C215"/>
    <mergeCell ref="B216:C216"/>
    <mergeCell ref="B217:C219"/>
    <mergeCell ref="B220:C220"/>
    <mergeCell ref="B221:C221"/>
    <mergeCell ref="A222:A232"/>
    <mergeCell ref="B222:C232"/>
    <mergeCell ref="M223:M232"/>
    <mergeCell ref="A233:A240"/>
    <mergeCell ref="B233:C240"/>
    <mergeCell ref="M233:M240"/>
    <mergeCell ref="A241:M241"/>
    <mergeCell ref="A242:M242"/>
    <mergeCell ref="A243:M243"/>
    <mergeCell ref="A244:M244"/>
    <mergeCell ref="A245:A342"/>
    <mergeCell ref="B245:B277"/>
    <mergeCell ref="M245:M349"/>
    <mergeCell ref="L248:L253"/>
    <mergeCell ref="B278:B287"/>
    <mergeCell ref="C289:C292"/>
    <mergeCell ref="L289:L290"/>
    <mergeCell ref="L291:L292"/>
    <mergeCell ref="C293:C296"/>
    <mergeCell ref="L293:L296"/>
    <mergeCell ref="C297:C306"/>
    <mergeCell ref="L297:L306"/>
    <mergeCell ref="C307:C308"/>
    <mergeCell ref="L307:L308"/>
    <mergeCell ref="C309:C314"/>
    <mergeCell ref="L309:L313"/>
    <mergeCell ref="C315:C320"/>
    <mergeCell ref="L315:L320"/>
    <mergeCell ref="C321:C328"/>
    <mergeCell ref="L324:L328"/>
    <mergeCell ref="C329:C330"/>
    <mergeCell ref="L329:L330"/>
    <mergeCell ref="C332:C336"/>
    <mergeCell ref="L332:L335"/>
    <mergeCell ref="B338:B339"/>
    <mergeCell ref="B340:B343"/>
    <mergeCell ref="A343:A344"/>
    <mergeCell ref="D343:D344"/>
    <mergeCell ref="B344:B345"/>
    <mergeCell ref="A345:A346"/>
    <mergeCell ref="D345:D346"/>
    <mergeCell ref="B346:B347"/>
    <mergeCell ref="A347:A349"/>
    <mergeCell ref="D347:D349"/>
    <mergeCell ref="L347:L348"/>
    <mergeCell ref="B348:B350"/>
    <mergeCell ref="A350:A375"/>
    <mergeCell ref="M350:M357"/>
    <mergeCell ref="B351:B365"/>
    <mergeCell ref="M358:M375"/>
    <mergeCell ref="C366:C368"/>
    <mergeCell ref="L366:L368"/>
    <mergeCell ref="C369:C370"/>
    <mergeCell ref="L369:L370"/>
    <mergeCell ref="A376:A380"/>
    <mergeCell ref="B377:B381"/>
    <mergeCell ref="A381:A382"/>
    <mergeCell ref="M381:M382"/>
    <mergeCell ref="M384:M385"/>
    <mergeCell ref="A385:A387"/>
    <mergeCell ref="M390:M391"/>
    <mergeCell ref="A392:A394"/>
    <mergeCell ref="B393:B394"/>
    <mergeCell ref="A395:A398"/>
    <mergeCell ref="B395:B398"/>
    <mergeCell ref="A399:A404"/>
    <mergeCell ref="B399:B404"/>
    <mergeCell ref="A409:A412"/>
    <mergeCell ref="B411:B412"/>
    <mergeCell ref="B414:B419"/>
    <mergeCell ref="B421:B423"/>
    <mergeCell ref="A424:A431"/>
    <mergeCell ref="B424:B431"/>
    <mergeCell ref="A432:D432"/>
    <mergeCell ref="A435:A444"/>
    <mergeCell ref="B435:B436"/>
    <mergeCell ref="M435:M505"/>
    <mergeCell ref="A446:A518"/>
    <mergeCell ref="B446:B518"/>
    <mergeCell ref="D446:D453"/>
    <mergeCell ref="D454:D459"/>
    <mergeCell ref="D460:D469"/>
    <mergeCell ref="D470:D479"/>
    <mergeCell ref="M506:M518"/>
    <mergeCell ref="A519:A530"/>
    <mergeCell ref="B519:B530"/>
    <mergeCell ref="A532:A546"/>
    <mergeCell ref="B532:B546"/>
    <mergeCell ref="M532:M546"/>
    <mergeCell ref="A547:A554"/>
    <mergeCell ref="B547:B554"/>
    <mergeCell ref="L547:L554"/>
    <mergeCell ref="M547:M554"/>
    <mergeCell ref="A555:J555"/>
    <mergeCell ref="A558:A565"/>
    <mergeCell ref="B558:B565"/>
    <mergeCell ref="M558:M565"/>
    <mergeCell ref="A566:H566"/>
    <mergeCell ref="I566:M566"/>
    <mergeCell ref="A567:H567"/>
    <mergeCell ref="A568:F568"/>
    <mergeCell ref="A569:A576"/>
    <mergeCell ref="B569:B576"/>
    <mergeCell ref="M569:M575"/>
    <mergeCell ref="A577:A584"/>
    <mergeCell ref="B577:B584"/>
    <mergeCell ref="M577:M583"/>
    <mergeCell ref="A585:A592"/>
    <mergeCell ref="B585:B592"/>
    <mergeCell ref="M585:M591"/>
    <mergeCell ref="A593:A600"/>
    <mergeCell ref="B593:B600"/>
    <mergeCell ref="L593:L599"/>
    <mergeCell ref="M593:M599"/>
    <mergeCell ref="A601:F601"/>
    <mergeCell ref="A602:F602"/>
    <mergeCell ref="A604:A606"/>
    <mergeCell ref="B604:B606"/>
    <mergeCell ref="L604:L606"/>
    <mergeCell ref="M604:M606"/>
    <mergeCell ref="A608:A611"/>
    <mergeCell ref="B608:B611"/>
    <mergeCell ref="L608:L610"/>
    <mergeCell ref="M608:M610"/>
    <mergeCell ref="A612:A632"/>
    <mergeCell ref="B612:B632"/>
    <mergeCell ref="L612:L631"/>
    <mergeCell ref="M612:M6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8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75" workbookViewId="0" topLeftCell="A1">
      <selection activeCell="P27" sqref="P27"/>
    </sheetView>
  </sheetViews>
  <sheetFormatPr defaultColWidth="9.00390625" defaultRowHeight="18.75" customHeight="1"/>
  <cols>
    <col min="1" max="1" width="8.25390625" style="691" customWidth="1"/>
    <col min="2" max="2" width="33.75390625" style="646" customWidth="1"/>
    <col min="3" max="3" width="10.25390625" style="646" customWidth="1"/>
    <col min="4" max="4" width="17.75390625" style="646" customWidth="1"/>
    <col min="5" max="5" width="10.875" style="646" customWidth="1"/>
    <col min="6" max="7" width="14.50390625" style="646" customWidth="1"/>
    <col min="8" max="8" width="15.125" style="646" customWidth="1"/>
    <col min="9" max="9" width="16.25390625" style="646" customWidth="1"/>
    <col min="10" max="10" width="16.50390625" style="646" customWidth="1"/>
    <col min="11" max="11" width="22.25390625" style="646" customWidth="1"/>
    <col min="12" max="12" width="24.125" style="646" customWidth="1"/>
    <col min="13" max="13" width="8.875" style="646" customWidth="1"/>
    <col min="14" max="14" width="17.00390625" style="646" customWidth="1"/>
    <col min="15" max="15" width="9.125" style="646" customWidth="1"/>
    <col min="16" max="16" width="15.875" style="646" customWidth="1"/>
    <col min="17" max="17" width="9.125" style="646" customWidth="1"/>
    <col min="18" max="18" width="11.375" style="646" customWidth="1"/>
    <col min="19" max="16384" width="9.125" style="646" customWidth="1"/>
  </cols>
  <sheetData>
    <row r="1" spans="4:13" ht="22.5" customHeight="1">
      <c r="D1" s="692" t="s">
        <v>367</v>
      </c>
      <c r="E1" s="692"/>
      <c r="F1" s="692"/>
      <c r="G1" s="692"/>
      <c r="H1" s="692"/>
      <c r="I1" s="692"/>
      <c r="J1" s="692"/>
      <c r="K1" s="692"/>
      <c r="L1" s="692"/>
      <c r="M1" s="693"/>
    </row>
    <row r="2" spans="4:13" ht="22.5" customHeight="1">
      <c r="D2" s="694"/>
      <c r="E2" s="694"/>
      <c r="F2" s="694"/>
      <c r="G2" s="694"/>
      <c r="H2" s="694"/>
      <c r="I2" s="692" t="s">
        <v>368</v>
      </c>
      <c r="J2" s="692"/>
      <c r="K2" s="692"/>
      <c r="L2" s="692"/>
      <c r="M2" s="693"/>
    </row>
    <row r="3" spans="2:12" ht="60.75" customHeight="1">
      <c r="B3" s="695" t="s">
        <v>369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</row>
    <row r="4" spans="1:12" ht="17.25" customHeight="1">
      <c r="A4" s="696"/>
      <c r="B4" s="697" t="s">
        <v>370</v>
      </c>
      <c r="C4" s="697" t="s">
        <v>371</v>
      </c>
      <c r="D4" s="697" t="s">
        <v>372</v>
      </c>
      <c r="E4" s="697" t="s">
        <v>7</v>
      </c>
      <c r="F4" s="697"/>
      <c r="G4" s="697"/>
      <c r="H4" s="697"/>
      <c r="I4" s="697"/>
      <c r="J4" s="697" t="s">
        <v>8</v>
      </c>
      <c r="K4" s="697" t="s">
        <v>373</v>
      </c>
      <c r="L4" s="698" t="s">
        <v>374</v>
      </c>
    </row>
    <row r="5" spans="1:12" ht="15.75" customHeight="1">
      <c r="A5" s="696"/>
      <c r="B5" s="697"/>
      <c r="C5" s="697"/>
      <c r="D5" s="697"/>
      <c r="E5" s="81" t="s">
        <v>11</v>
      </c>
      <c r="F5" s="81" t="s">
        <v>375</v>
      </c>
      <c r="G5" s="81"/>
      <c r="H5" s="81"/>
      <c r="I5" s="81" t="s">
        <v>14</v>
      </c>
      <c r="J5" s="697"/>
      <c r="K5" s="697"/>
      <c r="L5" s="698"/>
    </row>
    <row r="6" spans="1:12" ht="16.5" customHeight="1">
      <c r="A6" s="696"/>
      <c r="B6" s="697"/>
      <c r="C6" s="697"/>
      <c r="D6" s="697"/>
      <c r="E6" s="697"/>
      <c r="F6" s="81" t="s">
        <v>376</v>
      </c>
      <c r="G6" s="81"/>
      <c r="H6" s="81"/>
      <c r="I6" s="81"/>
      <c r="J6" s="81"/>
      <c r="K6" s="81"/>
      <c r="L6" s="698"/>
    </row>
    <row r="7" spans="1:12" ht="15" customHeight="1">
      <c r="A7" s="696"/>
      <c r="B7" s="697"/>
      <c r="C7" s="697"/>
      <c r="D7" s="697"/>
      <c r="E7" s="697"/>
      <c r="F7" s="81" t="s">
        <v>15</v>
      </c>
      <c r="G7" s="81" t="s">
        <v>16</v>
      </c>
      <c r="H7" s="81"/>
      <c r="I7" s="81"/>
      <c r="J7" s="81"/>
      <c r="K7" s="81"/>
      <c r="L7" s="698"/>
    </row>
    <row r="8" spans="1:12" ht="48" customHeight="1">
      <c r="A8" s="696"/>
      <c r="B8" s="697"/>
      <c r="C8" s="697"/>
      <c r="D8" s="697"/>
      <c r="E8" s="697"/>
      <c r="F8" s="697"/>
      <c r="G8" s="81" t="s">
        <v>17</v>
      </c>
      <c r="H8" s="81" t="s">
        <v>18</v>
      </c>
      <c r="I8" s="81"/>
      <c r="J8" s="81"/>
      <c r="K8" s="81"/>
      <c r="L8" s="698"/>
    </row>
    <row r="9" spans="1:12" ht="19.5" customHeight="1">
      <c r="A9" s="699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308">
        <v>12</v>
      </c>
    </row>
    <row r="10" spans="1:12" ht="18" customHeight="1">
      <c r="A10" s="699"/>
      <c r="B10" s="700" t="s">
        <v>377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</row>
    <row r="11" spans="1:12" ht="20.25" customHeight="1">
      <c r="A11" s="699"/>
      <c r="B11" s="701" t="s">
        <v>378</v>
      </c>
      <c r="C11" s="701"/>
      <c r="D11" s="701"/>
      <c r="E11" s="701"/>
      <c r="F11" s="701"/>
      <c r="G11" s="701"/>
      <c r="H11" s="701"/>
      <c r="I11" s="701"/>
      <c r="J11" s="701"/>
      <c r="K11" s="701"/>
      <c r="L11" s="701"/>
    </row>
    <row r="12" spans="1:12" ht="0.75" customHeight="1">
      <c r="A12" s="699"/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</row>
    <row r="13" spans="1:12" ht="18.75" customHeight="1">
      <c r="A13" s="699"/>
      <c r="B13" s="701" t="s">
        <v>379</v>
      </c>
      <c r="C13" s="701"/>
      <c r="D13" s="701"/>
      <c r="E13" s="701"/>
      <c r="F13" s="701"/>
      <c r="G13" s="701"/>
      <c r="H13" s="701"/>
      <c r="I13" s="701"/>
      <c r="J13" s="701"/>
      <c r="K13" s="701"/>
      <c r="L13" s="701"/>
    </row>
    <row r="14" spans="1:12" ht="20.25" customHeight="1">
      <c r="A14" s="699"/>
      <c r="B14" s="702" t="s">
        <v>380</v>
      </c>
      <c r="C14" s="702"/>
      <c r="D14" s="702"/>
      <c r="E14" s="702"/>
      <c r="F14" s="702"/>
      <c r="G14" s="702"/>
      <c r="H14" s="702"/>
      <c r="I14" s="702"/>
      <c r="J14" s="702"/>
      <c r="K14" s="702"/>
      <c r="L14" s="702"/>
    </row>
    <row r="15" spans="1:12" ht="26.25" customHeight="1">
      <c r="A15" s="699"/>
      <c r="B15" s="703" t="s">
        <v>381</v>
      </c>
      <c r="C15" s="71"/>
      <c r="D15" s="71"/>
      <c r="E15" s="71"/>
      <c r="F15" s="81"/>
      <c r="G15" s="81"/>
      <c r="H15" s="81"/>
      <c r="I15" s="81"/>
      <c r="J15" s="81"/>
      <c r="K15" s="81"/>
      <c r="L15" s="704"/>
    </row>
    <row r="16" spans="1:12" ht="26.25" customHeight="1">
      <c r="A16" s="699" t="s">
        <v>61</v>
      </c>
      <c r="B16" s="81" t="s">
        <v>382</v>
      </c>
      <c r="C16" s="458">
        <v>2020</v>
      </c>
      <c r="D16" s="705">
        <f>D17+D18</f>
        <v>3688.6000000000004</v>
      </c>
      <c r="E16" s="705">
        <f>E17+E18</f>
        <v>0</v>
      </c>
      <c r="F16" s="705">
        <f>F17+F18</f>
        <v>3651.7</v>
      </c>
      <c r="G16" s="705">
        <f>G17+G18</f>
        <v>3250</v>
      </c>
      <c r="H16" s="705">
        <f>H17+H18</f>
        <v>401.7</v>
      </c>
      <c r="I16" s="705">
        <f>I17+I18</f>
        <v>36.900000000000006</v>
      </c>
      <c r="J16" s="705">
        <f>J17+J18</f>
        <v>0</v>
      </c>
      <c r="K16" s="81"/>
      <c r="L16" s="706" t="s">
        <v>383</v>
      </c>
    </row>
    <row r="17" spans="1:12" ht="18" customHeight="1">
      <c r="A17" s="699"/>
      <c r="B17" s="81"/>
      <c r="C17" s="707" t="s">
        <v>145</v>
      </c>
      <c r="D17" s="708">
        <f aca="true" t="shared" si="0" ref="D17:D18">E17+F17+I17</f>
        <v>1829.613</v>
      </c>
      <c r="E17" s="708">
        <v>0</v>
      </c>
      <c r="F17" s="708">
        <f aca="true" t="shared" si="1" ref="F17:F18">G17+H17</f>
        <v>1811.31</v>
      </c>
      <c r="G17" s="708">
        <v>1612.06</v>
      </c>
      <c r="H17" s="708">
        <v>199.25</v>
      </c>
      <c r="I17" s="708">
        <v>18.303</v>
      </c>
      <c r="J17" s="81"/>
      <c r="K17" s="81" t="s">
        <v>145</v>
      </c>
      <c r="L17" s="706"/>
    </row>
    <row r="18" spans="1:12" ht="18" customHeight="1">
      <c r="A18" s="699"/>
      <c r="B18" s="81"/>
      <c r="C18" s="707" t="s">
        <v>149</v>
      </c>
      <c r="D18" s="708">
        <f t="shared" si="0"/>
        <v>1858.987</v>
      </c>
      <c r="E18" s="708">
        <v>0</v>
      </c>
      <c r="F18" s="708">
        <f t="shared" si="1"/>
        <v>1840.39</v>
      </c>
      <c r="G18" s="708">
        <v>1637.94</v>
      </c>
      <c r="H18" s="708">
        <v>202.45</v>
      </c>
      <c r="I18" s="708">
        <v>18.597</v>
      </c>
      <c r="J18" s="81"/>
      <c r="K18" s="81" t="s">
        <v>149</v>
      </c>
      <c r="L18" s="706"/>
    </row>
    <row r="19" spans="1:12" ht="18" customHeight="1">
      <c r="A19" s="699"/>
      <c r="B19" s="81"/>
      <c r="C19" s="709">
        <v>2021</v>
      </c>
      <c r="D19" s="705">
        <f>D20+D21</f>
        <v>8509.099999999999</v>
      </c>
      <c r="E19" s="705">
        <f>E20+E21</f>
        <v>0</v>
      </c>
      <c r="F19" s="705">
        <f>F20+F21</f>
        <v>8275.1</v>
      </c>
      <c r="G19" s="705">
        <f>G20+G21</f>
        <v>8041.1</v>
      </c>
      <c r="H19" s="705">
        <f>H20+H21</f>
        <v>234</v>
      </c>
      <c r="I19" s="705">
        <f>I20+I21</f>
        <v>234</v>
      </c>
      <c r="J19" s="705">
        <f>J20+J21</f>
        <v>0</v>
      </c>
      <c r="K19" s="81"/>
      <c r="L19" s="706"/>
    </row>
    <row r="20" spans="1:12" ht="18" customHeight="1">
      <c r="A20" s="699"/>
      <c r="B20" s="81"/>
      <c r="C20" s="707" t="s">
        <v>145</v>
      </c>
      <c r="D20" s="710">
        <f aca="true" t="shared" si="2" ref="D20:D21">E20+F20+I20</f>
        <v>4122.2</v>
      </c>
      <c r="E20" s="71"/>
      <c r="F20" s="708">
        <f aca="true" t="shared" si="3" ref="F20:F21">G20+H20</f>
        <v>4008.83962</v>
      </c>
      <c r="G20" s="708">
        <v>3895.47924</v>
      </c>
      <c r="H20" s="708">
        <v>113.36038</v>
      </c>
      <c r="I20" s="708">
        <v>113.36038</v>
      </c>
      <c r="J20" s="708"/>
      <c r="K20" s="81" t="s">
        <v>145</v>
      </c>
      <c r="L20" s="706"/>
    </row>
    <row r="21" spans="1:12" ht="18" customHeight="1">
      <c r="A21" s="699"/>
      <c r="B21" s="81"/>
      <c r="C21" s="707" t="s">
        <v>149</v>
      </c>
      <c r="D21" s="710">
        <f t="shared" si="2"/>
        <v>4386.9</v>
      </c>
      <c r="E21" s="71"/>
      <c r="F21" s="708">
        <f t="shared" si="3"/>
        <v>4266.26038</v>
      </c>
      <c r="G21" s="708">
        <v>4145.62076</v>
      </c>
      <c r="H21" s="708">
        <v>120.63962</v>
      </c>
      <c r="I21" s="708">
        <v>120.63962</v>
      </c>
      <c r="J21" s="711"/>
      <c r="K21" s="81" t="s">
        <v>149</v>
      </c>
      <c r="L21" s="706"/>
    </row>
    <row r="22" spans="1:12" ht="18" customHeight="1">
      <c r="A22" s="699"/>
      <c r="B22" s="81"/>
      <c r="C22" s="458">
        <v>2022</v>
      </c>
      <c r="D22" s="705">
        <f>D23+D24</f>
        <v>9196.4</v>
      </c>
      <c r="E22" s="705">
        <f>E23+E24</f>
        <v>0</v>
      </c>
      <c r="F22" s="705">
        <f>F23+F24</f>
        <v>8644.599999999999</v>
      </c>
      <c r="G22" s="705">
        <f>G23+G24</f>
        <v>8644.599999999999</v>
      </c>
      <c r="H22" s="705">
        <f>H23+H24</f>
        <v>0</v>
      </c>
      <c r="I22" s="705">
        <f>I23+I24</f>
        <v>551.8</v>
      </c>
      <c r="J22" s="705">
        <f>J23+J24</f>
        <v>0</v>
      </c>
      <c r="K22" s="81"/>
      <c r="L22" s="706"/>
    </row>
    <row r="23" spans="1:12" ht="18" customHeight="1">
      <c r="A23" s="699"/>
      <c r="B23" s="81"/>
      <c r="C23" s="707" t="s">
        <v>145</v>
      </c>
      <c r="D23" s="710">
        <f aca="true" t="shared" si="4" ref="D23:D30">E23+F23+I23</f>
        <v>4499.9</v>
      </c>
      <c r="E23" s="71"/>
      <c r="F23" s="708">
        <f aca="true" t="shared" si="5" ref="F23:F32">G23+H23</f>
        <v>4229.9</v>
      </c>
      <c r="G23" s="708">
        <v>4229.9</v>
      </c>
      <c r="H23" s="708">
        <v>0</v>
      </c>
      <c r="I23" s="708">
        <v>270</v>
      </c>
      <c r="J23" s="708"/>
      <c r="K23" s="81" t="s">
        <v>145</v>
      </c>
      <c r="L23" s="706"/>
    </row>
    <row r="24" spans="1:12" ht="18" customHeight="1">
      <c r="A24" s="699"/>
      <c r="B24" s="81"/>
      <c r="C24" s="707" t="s">
        <v>149</v>
      </c>
      <c r="D24" s="710">
        <f t="shared" si="4"/>
        <v>4696.5</v>
      </c>
      <c r="E24" s="71"/>
      <c r="F24" s="708">
        <f t="shared" si="5"/>
        <v>4414.7</v>
      </c>
      <c r="G24" s="708">
        <v>4414.7</v>
      </c>
      <c r="H24" s="708">
        <v>0</v>
      </c>
      <c r="I24" s="708">
        <v>281.8</v>
      </c>
      <c r="J24" s="708"/>
      <c r="K24" s="81" t="s">
        <v>149</v>
      </c>
      <c r="L24" s="706"/>
    </row>
    <row r="25" spans="1:12" ht="18" customHeight="1">
      <c r="A25" s="699"/>
      <c r="B25" s="81"/>
      <c r="C25" s="458">
        <v>2023</v>
      </c>
      <c r="D25" s="712">
        <f t="shared" si="4"/>
        <v>9178.5</v>
      </c>
      <c r="E25" s="712">
        <f>E26+E27</f>
        <v>0</v>
      </c>
      <c r="F25" s="705">
        <f t="shared" si="5"/>
        <v>8627.8</v>
      </c>
      <c r="G25" s="705">
        <f>G26+G27</f>
        <v>8627.8</v>
      </c>
      <c r="H25" s="705">
        <f>H26+H27</f>
        <v>0</v>
      </c>
      <c r="I25" s="705">
        <f>I26+I27</f>
        <v>550.7</v>
      </c>
      <c r="J25" s="705">
        <f>J26+J27</f>
        <v>0</v>
      </c>
      <c r="K25" s="458"/>
      <c r="L25" s="706"/>
    </row>
    <row r="26" spans="1:12" ht="18" customHeight="1">
      <c r="A26" s="699"/>
      <c r="B26" s="81"/>
      <c r="C26" s="707" t="s">
        <v>145</v>
      </c>
      <c r="D26" s="710">
        <f t="shared" si="4"/>
        <v>4491.1</v>
      </c>
      <c r="E26" s="71"/>
      <c r="F26" s="708">
        <f t="shared" si="5"/>
        <v>4221.6</v>
      </c>
      <c r="G26" s="708">
        <v>4221.6</v>
      </c>
      <c r="H26" s="708">
        <v>0</v>
      </c>
      <c r="I26" s="708">
        <v>269.5</v>
      </c>
      <c r="J26" s="708"/>
      <c r="K26" s="81" t="s">
        <v>145</v>
      </c>
      <c r="L26" s="706"/>
    </row>
    <row r="27" spans="1:12" ht="18" customHeight="1">
      <c r="A27" s="699"/>
      <c r="B27" s="81"/>
      <c r="C27" s="707" t="s">
        <v>149</v>
      </c>
      <c r="D27" s="710">
        <f t="shared" si="4"/>
        <v>4687.4</v>
      </c>
      <c r="E27" s="71"/>
      <c r="F27" s="708">
        <f t="shared" si="5"/>
        <v>4406.2</v>
      </c>
      <c r="G27" s="708">
        <v>4406.2</v>
      </c>
      <c r="H27" s="708">
        <v>0</v>
      </c>
      <c r="I27" s="708">
        <v>281.2</v>
      </c>
      <c r="J27" s="708"/>
      <c r="K27" s="81" t="s">
        <v>149</v>
      </c>
      <c r="L27" s="706"/>
    </row>
    <row r="28" spans="1:12" ht="18" customHeight="1">
      <c r="A28" s="699"/>
      <c r="B28" s="81"/>
      <c r="C28" s="458">
        <v>2024</v>
      </c>
      <c r="D28" s="712">
        <f t="shared" si="4"/>
        <v>9435.800000000001</v>
      </c>
      <c r="E28" s="712">
        <f>E29+E30</f>
        <v>0</v>
      </c>
      <c r="F28" s="705">
        <f t="shared" si="5"/>
        <v>8869.6</v>
      </c>
      <c r="G28" s="705">
        <f>G29+G30</f>
        <v>8869.6</v>
      </c>
      <c r="H28" s="705">
        <f>H29+H30</f>
        <v>0</v>
      </c>
      <c r="I28" s="705">
        <f>I29+I30</f>
        <v>566.2</v>
      </c>
      <c r="J28" s="705">
        <f>J29+J30</f>
        <v>0</v>
      </c>
      <c r="K28" s="458"/>
      <c r="L28" s="706"/>
    </row>
    <row r="29" spans="1:12" ht="18" customHeight="1">
      <c r="A29" s="699"/>
      <c r="B29" s="81"/>
      <c r="C29" s="707" t="s">
        <v>145</v>
      </c>
      <c r="D29" s="710">
        <f t="shared" si="4"/>
        <v>4617</v>
      </c>
      <c r="E29" s="71"/>
      <c r="F29" s="708">
        <f t="shared" si="5"/>
        <v>4340</v>
      </c>
      <c r="G29" s="708">
        <v>4340</v>
      </c>
      <c r="H29" s="708">
        <v>0</v>
      </c>
      <c r="I29" s="708">
        <v>277</v>
      </c>
      <c r="J29" s="708"/>
      <c r="K29" s="81" t="s">
        <v>145</v>
      </c>
      <c r="L29" s="706"/>
    </row>
    <row r="30" spans="1:12" ht="18" customHeight="1">
      <c r="A30" s="699"/>
      <c r="B30" s="81"/>
      <c r="C30" s="707" t="s">
        <v>149</v>
      </c>
      <c r="D30" s="710">
        <f t="shared" si="4"/>
        <v>4818.8</v>
      </c>
      <c r="E30" s="71"/>
      <c r="F30" s="708">
        <f t="shared" si="5"/>
        <v>4529.6</v>
      </c>
      <c r="G30" s="708">
        <v>4529.6</v>
      </c>
      <c r="H30" s="708">
        <v>0</v>
      </c>
      <c r="I30" s="708">
        <v>289.2</v>
      </c>
      <c r="J30" s="708"/>
      <c r="K30" s="81" t="s">
        <v>149</v>
      </c>
      <c r="L30" s="706"/>
    </row>
    <row r="31" spans="1:12" ht="30.75" customHeight="1">
      <c r="A31" s="699" t="s">
        <v>65</v>
      </c>
      <c r="B31" s="707" t="s">
        <v>384</v>
      </c>
      <c r="C31" s="458">
        <v>2017</v>
      </c>
      <c r="D31" s="713">
        <f aca="true" t="shared" si="6" ref="D31:D32">E31+F31+I31+J31</f>
        <v>4116.005999999999</v>
      </c>
      <c r="E31" s="713"/>
      <c r="F31" s="714">
        <f t="shared" si="5"/>
        <v>2078</v>
      </c>
      <c r="G31" s="715">
        <f>G38+G51+G63</f>
        <v>0</v>
      </c>
      <c r="H31" s="715">
        <f>H38+H51+H63</f>
        <v>2078</v>
      </c>
      <c r="I31" s="716">
        <f>I38+I51+I63</f>
        <v>2038.0059999999999</v>
      </c>
      <c r="J31" s="716">
        <f>J38+J51+J63</f>
        <v>0</v>
      </c>
      <c r="K31" s="717" t="s">
        <v>63</v>
      </c>
      <c r="L31" s="706" t="s">
        <v>385</v>
      </c>
    </row>
    <row r="32" spans="1:12" ht="20.25" customHeight="1">
      <c r="A32" s="699"/>
      <c r="B32" s="707"/>
      <c r="C32" s="458">
        <v>2018</v>
      </c>
      <c r="D32" s="713">
        <f t="shared" si="6"/>
        <v>4470.592000000001</v>
      </c>
      <c r="E32" s="713"/>
      <c r="F32" s="714">
        <f t="shared" si="5"/>
        <v>2215</v>
      </c>
      <c r="G32" s="715">
        <f>G39+G40</f>
        <v>0</v>
      </c>
      <c r="H32" s="715">
        <f>H39+H40+H52+H64</f>
        <v>2215</v>
      </c>
      <c r="I32" s="716">
        <f>I39+I40+I52+I64</f>
        <v>2255.592</v>
      </c>
      <c r="J32" s="716">
        <f>J39+J40+J52+J64</f>
        <v>0</v>
      </c>
      <c r="K32" s="718" t="s">
        <v>63</v>
      </c>
      <c r="L32" s="706"/>
    </row>
    <row r="33" spans="1:12" ht="18.75" customHeight="1">
      <c r="A33" s="699"/>
      <c r="B33" s="707"/>
      <c r="C33" s="458">
        <v>2019</v>
      </c>
      <c r="D33" s="716">
        <f>D41+D42+D53+D54+D65+D66</f>
        <v>8785.133109999999</v>
      </c>
      <c r="E33" s="716">
        <f>E41+E42+E53+E54+E65+E66</f>
        <v>0</v>
      </c>
      <c r="F33" s="716">
        <f>F41+F42+F53+F54+F65+F66</f>
        <v>2292</v>
      </c>
      <c r="G33" s="716">
        <f>G41+G42+G53+G54+G65+G66</f>
        <v>0</v>
      </c>
      <c r="H33" s="716">
        <f>H41+H42+H53+H54+H65+H66</f>
        <v>2292</v>
      </c>
      <c r="I33" s="716">
        <f>I41+I42+I53+I54+I65+I66</f>
        <v>3885.83611</v>
      </c>
      <c r="J33" s="716">
        <f>J41+J42+J53+J54+J65+J66</f>
        <v>2607.297</v>
      </c>
      <c r="K33" s="718" t="s">
        <v>63</v>
      </c>
      <c r="L33" s="706"/>
    </row>
    <row r="34" spans="1:12" ht="19.5" customHeight="1">
      <c r="A34" s="699"/>
      <c r="B34" s="707"/>
      <c r="C34" s="458">
        <v>2020</v>
      </c>
      <c r="D34" s="716">
        <f>D43+D44+D55+D56+D67+D68</f>
        <v>5956.800000000001</v>
      </c>
      <c r="E34" s="716">
        <f>E43+E44+E55+E56+E67+E68</f>
        <v>0</v>
      </c>
      <c r="F34" s="716">
        <f>F43+F44+F55+F56+F67+F68</f>
        <v>2272.5</v>
      </c>
      <c r="G34" s="716">
        <f>G43+G44+G55+G56+G67+G68</f>
        <v>0</v>
      </c>
      <c r="H34" s="716">
        <f>H43+H44+H55+H56+H67+H68</f>
        <v>2272.5</v>
      </c>
      <c r="I34" s="716">
        <f>I43+I44+I55+I56+I67+I68</f>
        <v>3684.3</v>
      </c>
      <c r="J34" s="716">
        <f>J43+J44+J55+J56+J67+J68+J87+J80</f>
        <v>0</v>
      </c>
      <c r="K34" s="718" t="s">
        <v>63</v>
      </c>
      <c r="L34" s="706"/>
    </row>
    <row r="35" spans="1:12" ht="21" customHeight="1">
      <c r="A35" s="699"/>
      <c r="B35" s="707"/>
      <c r="C35" s="458">
        <v>2021</v>
      </c>
      <c r="D35" s="716">
        <f>D45+D46+D57+D58+D69+D70+D88</f>
        <v>2920.609</v>
      </c>
      <c r="E35" s="716">
        <f>E45+E46+E57+E58+E69+E70+E88</f>
        <v>0</v>
      </c>
      <c r="F35" s="716">
        <f>F45+F46+F57+F58+F69+F70+F88</f>
        <v>0</v>
      </c>
      <c r="G35" s="716">
        <f>G45+G46+G57+G58+G69+G70+G88</f>
        <v>0</v>
      </c>
      <c r="H35" s="716">
        <f>H45+H46+H57+H58+H69+H70+H88</f>
        <v>0</v>
      </c>
      <c r="I35" s="716">
        <f>I45+I46+I57+I58+I69+I70+I88</f>
        <v>2920.609</v>
      </c>
      <c r="J35" s="716">
        <f>J45+J46+J57+J58+J69+J70+J88</f>
        <v>0</v>
      </c>
      <c r="K35" s="718" t="s">
        <v>63</v>
      </c>
      <c r="L35" s="706"/>
    </row>
    <row r="36" spans="1:12" ht="18" customHeight="1">
      <c r="A36" s="699"/>
      <c r="B36" s="707"/>
      <c r="C36" s="458">
        <v>2022</v>
      </c>
      <c r="D36" s="716">
        <f>D47+D48+D59+D60+D71+D72+D89</f>
        <v>2812.2</v>
      </c>
      <c r="E36" s="716">
        <f>E47+E48+E59+E60+E71+E72+E89</f>
        <v>0</v>
      </c>
      <c r="F36" s="716">
        <f>F47+F48+F59+F60+F71+F72+F89</f>
        <v>0</v>
      </c>
      <c r="G36" s="716">
        <f>G47+G48+G59+G60+G71+G72+G89</f>
        <v>0</v>
      </c>
      <c r="H36" s="716">
        <f>H47+H48+H59+H60+H71+H72+H89</f>
        <v>0</v>
      </c>
      <c r="I36" s="716">
        <f>I47+I48+I59+I60+I71+I72+I89</f>
        <v>2812.2</v>
      </c>
      <c r="J36" s="716">
        <f>J47+J48+J59+J60+J71+J72+J89</f>
        <v>0</v>
      </c>
      <c r="K36" s="718" t="s">
        <v>63</v>
      </c>
      <c r="L36" s="706"/>
    </row>
    <row r="37" spans="1:12" ht="26.25" customHeight="1">
      <c r="A37" s="699"/>
      <c r="B37" s="707"/>
      <c r="C37" s="458">
        <v>2023</v>
      </c>
      <c r="D37" s="716">
        <f>D49+D50+D61+D62+D73+D74</f>
        <v>0</v>
      </c>
      <c r="E37" s="716">
        <f>E49+E50+E61+E62+E73+E74</f>
        <v>0</v>
      </c>
      <c r="F37" s="716">
        <f>F49+F50+F61+F62+F73+F74</f>
        <v>0</v>
      </c>
      <c r="G37" s="716">
        <f>G49+G50+G61+G62+G73+G74</f>
        <v>0</v>
      </c>
      <c r="H37" s="716">
        <f>H49+H50+H61+H62+H73+H74</f>
        <v>0</v>
      </c>
      <c r="I37" s="716">
        <f>I49+I50+I61+I62+I73+I74</f>
        <v>0</v>
      </c>
      <c r="J37" s="716">
        <f>J49+J50+J61+J62+J73+J74</f>
        <v>0</v>
      </c>
      <c r="K37" s="718"/>
      <c r="L37" s="706"/>
    </row>
    <row r="38" spans="1:12" ht="18" customHeight="1">
      <c r="A38" s="699" t="s">
        <v>73</v>
      </c>
      <c r="B38" s="719" t="s">
        <v>386</v>
      </c>
      <c r="C38" s="81">
        <v>2017</v>
      </c>
      <c r="D38" s="714">
        <f>E38+F38+I38+J38</f>
        <v>3178</v>
      </c>
      <c r="E38" s="713"/>
      <c r="F38" s="714">
        <f aca="true" t="shared" si="7" ref="F38:F90">G38+H38</f>
        <v>2078</v>
      </c>
      <c r="G38" s="714"/>
      <c r="H38" s="714">
        <v>2078</v>
      </c>
      <c r="I38" s="720">
        <v>1100</v>
      </c>
      <c r="J38" s="714"/>
      <c r="K38" s="717" t="s">
        <v>63</v>
      </c>
      <c r="L38" s="706"/>
    </row>
    <row r="39" spans="1:12" ht="18" customHeight="1">
      <c r="A39" s="699"/>
      <c r="B39" s="719"/>
      <c r="C39" s="81">
        <v>2018</v>
      </c>
      <c r="D39" s="714">
        <f>E39+E40+F39+F40+I39+I40+J39+J40</f>
        <v>3452.592</v>
      </c>
      <c r="E39" s="713"/>
      <c r="F39" s="714">
        <f t="shared" si="7"/>
        <v>1115.565</v>
      </c>
      <c r="G39" s="714"/>
      <c r="H39" s="714">
        <v>1115.565</v>
      </c>
      <c r="I39" s="720">
        <f>585.06+36.81946+0.0005</f>
        <v>621.87996</v>
      </c>
      <c r="J39" s="714"/>
      <c r="K39" s="717" t="s">
        <v>179</v>
      </c>
      <c r="L39" s="706"/>
    </row>
    <row r="40" spans="1:12" ht="18" customHeight="1">
      <c r="A40" s="699"/>
      <c r="B40" s="719"/>
      <c r="C40" s="81"/>
      <c r="D40" s="714"/>
      <c r="E40" s="713"/>
      <c r="F40" s="714">
        <f t="shared" si="7"/>
        <v>1099.435</v>
      </c>
      <c r="G40" s="714"/>
      <c r="H40" s="714">
        <v>1099.435</v>
      </c>
      <c r="I40" s="720">
        <f>635.056-19.34396</f>
        <v>615.71204</v>
      </c>
      <c r="J40" s="714"/>
      <c r="K40" s="718" t="s">
        <v>124</v>
      </c>
      <c r="L40" s="706"/>
    </row>
    <row r="41" spans="1:12" ht="18" customHeight="1">
      <c r="A41" s="699"/>
      <c r="B41" s="719"/>
      <c r="C41" s="81">
        <v>2019</v>
      </c>
      <c r="D41" s="714">
        <f aca="true" t="shared" si="8" ref="D41:D83">E41+F41+I41+J41</f>
        <v>2018.6999999999998</v>
      </c>
      <c r="E41" s="713"/>
      <c r="F41" s="714">
        <f t="shared" si="7"/>
        <v>1143.3</v>
      </c>
      <c r="G41" s="714"/>
      <c r="H41" s="714">
        <v>1143.3</v>
      </c>
      <c r="I41" s="720">
        <f>875.4</f>
        <v>875.4</v>
      </c>
      <c r="J41" s="714"/>
      <c r="K41" s="717" t="s">
        <v>179</v>
      </c>
      <c r="L41" s="706"/>
    </row>
    <row r="42" spans="1:12" ht="18" customHeight="1">
      <c r="A42" s="699"/>
      <c r="B42" s="719"/>
      <c r="C42" s="81"/>
      <c r="D42" s="721">
        <f t="shared" si="8"/>
        <v>2024.1</v>
      </c>
      <c r="E42" s="722"/>
      <c r="F42" s="721">
        <f t="shared" si="7"/>
        <v>1148.7</v>
      </c>
      <c r="G42" s="721"/>
      <c r="H42" s="721">
        <v>1148.7</v>
      </c>
      <c r="I42" s="723">
        <v>875.4</v>
      </c>
      <c r="J42" s="721"/>
      <c r="K42" s="85" t="s">
        <v>124</v>
      </c>
      <c r="L42" s="706"/>
    </row>
    <row r="43" spans="1:12" ht="18" customHeight="1">
      <c r="A43" s="699"/>
      <c r="B43" s="719"/>
      <c r="C43" s="81">
        <v>2020</v>
      </c>
      <c r="D43" s="721">
        <f t="shared" si="8"/>
        <v>2136.4</v>
      </c>
      <c r="E43" s="722"/>
      <c r="F43" s="721">
        <f t="shared" si="7"/>
        <v>1161</v>
      </c>
      <c r="G43" s="721"/>
      <c r="H43" s="721">
        <f>1244-83</f>
        <v>1161</v>
      </c>
      <c r="I43" s="723">
        <v>975.4</v>
      </c>
      <c r="J43" s="721"/>
      <c r="K43" s="357" t="s">
        <v>179</v>
      </c>
      <c r="L43" s="706"/>
    </row>
    <row r="44" spans="1:12" ht="18" customHeight="1">
      <c r="A44" s="699"/>
      <c r="B44" s="719"/>
      <c r="C44" s="81"/>
      <c r="D44" s="721">
        <f t="shared" si="8"/>
        <v>1786.9</v>
      </c>
      <c r="E44" s="722"/>
      <c r="F44" s="721">
        <f t="shared" si="7"/>
        <v>1111.5</v>
      </c>
      <c r="G44" s="721"/>
      <c r="H44" s="721">
        <f>1468.5-357</f>
        <v>1111.5</v>
      </c>
      <c r="I44" s="723">
        <f>975.4-300</f>
        <v>675.4</v>
      </c>
      <c r="J44" s="721"/>
      <c r="K44" s="85" t="s">
        <v>124</v>
      </c>
      <c r="L44" s="706"/>
    </row>
    <row r="45" spans="1:12" ht="18" customHeight="1">
      <c r="A45" s="699"/>
      <c r="B45" s="719"/>
      <c r="C45" s="81">
        <v>2021</v>
      </c>
      <c r="D45" s="721">
        <f t="shared" si="8"/>
        <v>0</v>
      </c>
      <c r="E45" s="722"/>
      <c r="F45" s="721">
        <f t="shared" si="7"/>
        <v>0</v>
      </c>
      <c r="G45" s="721"/>
      <c r="H45" s="721">
        <v>0</v>
      </c>
      <c r="I45" s="723">
        <v>0</v>
      </c>
      <c r="J45" s="721"/>
      <c r="K45" s="357" t="s">
        <v>179</v>
      </c>
      <c r="L45" s="706"/>
    </row>
    <row r="46" spans="1:12" ht="18" customHeight="1">
      <c r="A46" s="699"/>
      <c r="B46" s="719"/>
      <c r="C46" s="81"/>
      <c r="D46" s="721">
        <f t="shared" si="8"/>
        <v>0</v>
      </c>
      <c r="E46" s="722"/>
      <c r="F46" s="721">
        <f t="shared" si="7"/>
        <v>0</v>
      </c>
      <c r="G46" s="721"/>
      <c r="H46" s="721">
        <v>0</v>
      </c>
      <c r="I46" s="723">
        <v>0</v>
      </c>
      <c r="J46" s="721"/>
      <c r="K46" s="85" t="s">
        <v>124</v>
      </c>
      <c r="L46" s="706"/>
    </row>
    <row r="47" spans="1:12" ht="18" customHeight="1">
      <c r="A47" s="699"/>
      <c r="B47" s="719"/>
      <c r="C47" s="81">
        <v>2022</v>
      </c>
      <c r="D47" s="721">
        <f t="shared" si="8"/>
        <v>0</v>
      </c>
      <c r="E47" s="722"/>
      <c r="F47" s="721">
        <f t="shared" si="7"/>
        <v>0</v>
      </c>
      <c r="G47" s="721"/>
      <c r="H47" s="721">
        <v>0</v>
      </c>
      <c r="I47" s="723">
        <v>0</v>
      </c>
      <c r="J47" s="721"/>
      <c r="K47" s="357" t="s">
        <v>179</v>
      </c>
      <c r="L47" s="706"/>
    </row>
    <row r="48" spans="1:12" ht="18" customHeight="1">
      <c r="A48" s="699"/>
      <c r="B48" s="719"/>
      <c r="C48" s="81"/>
      <c r="D48" s="721">
        <f t="shared" si="8"/>
        <v>0</v>
      </c>
      <c r="E48" s="722"/>
      <c r="F48" s="721">
        <f t="shared" si="7"/>
        <v>0</v>
      </c>
      <c r="G48" s="721"/>
      <c r="H48" s="721">
        <v>0</v>
      </c>
      <c r="I48" s="723">
        <v>0</v>
      </c>
      <c r="J48" s="721"/>
      <c r="K48" s="85" t="s">
        <v>124</v>
      </c>
      <c r="L48" s="706"/>
    </row>
    <row r="49" spans="1:12" ht="18" customHeight="1">
      <c r="A49" s="699"/>
      <c r="B49" s="719"/>
      <c r="C49" s="81">
        <v>2023</v>
      </c>
      <c r="D49" s="721">
        <f t="shared" si="8"/>
        <v>0</v>
      </c>
      <c r="E49" s="722"/>
      <c r="F49" s="721">
        <f t="shared" si="7"/>
        <v>0</v>
      </c>
      <c r="G49" s="721"/>
      <c r="H49" s="721">
        <v>0</v>
      </c>
      <c r="I49" s="723">
        <v>0</v>
      </c>
      <c r="J49" s="721"/>
      <c r="K49" s="357" t="s">
        <v>179</v>
      </c>
      <c r="L49" s="706"/>
    </row>
    <row r="50" spans="1:12" ht="18" customHeight="1">
      <c r="A50" s="699"/>
      <c r="B50" s="719"/>
      <c r="C50" s="81"/>
      <c r="D50" s="721">
        <f t="shared" si="8"/>
        <v>0</v>
      </c>
      <c r="E50" s="722"/>
      <c r="F50" s="721">
        <f t="shared" si="7"/>
        <v>0</v>
      </c>
      <c r="G50" s="721"/>
      <c r="H50" s="721">
        <v>0</v>
      </c>
      <c r="I50" s="723">
        <v>0</v>
      </c>
      <c r="J50" s="721"/>
      <c r="K50" s="85" t="s">
        <v>124</v>
      </c>
      <c r="L50" s="706"/>
    </row>
    <row r="51" spans="1:12" ht="18" customHeight="1">
      <c r="A51" s="699" t="s">
        <v>75</v>
      </c>
      <c r="B51" s="719" t="s">
        <v>387</v>
      </c>
      <c r="C51" s="81">
        <v>2017</v>
      </c>
      <c r="D51" s="721">
        <f t="shared" si="8"/>
        <v>257.885</v>
      </c>
      <c r="E51" s="722"/>
      <c r="F51" s="721">
        <f t="shared" si="7"/>
        <v>0</v>
      </c>
      <c r="G51" s="721"/>
      <c r="H51" s="721">
        <v>0</v>
      </c>
      <c r="I51" s="723">
        <v>257.885</v>
      </c>
      <c r="J51" s="721"/>
      <c r="K51" s="85" t="s">
        <v>63</v>
      </c>
      <c r="L51" s="706"/>
    </row>
    <row r="52" spans="1:12" ht="18" customHeight="1">
      <c r="A52" s="699"/>
      <c r="B52" s="719"/>
      <c r="C52" s="81">
        <v>2018</v>
      </c>
      <c r="D52" s="721">
        <f t="shared" si="8"/>
        <v>117</v>
      </c>
      <c r="E52" s="722"/>
      <c r="F52" s="721">
        <f t="shared" si="7"/>
        <v>0</v>
      </c>
      <c r="G52" s="721"/>
      <c r="H52" s="721">
        <v>0</v>
      </c>
      <c r="I52" s="723">
        <v>117</v>
      </c>
      <c r="J52" s="721"/>
      <c r="K52" s="85" t="s">
        <v>388</v>
      </c>
      <c r="L52" s="706"/>
    </row>
    <row r="53" spans="1:12" ht="18" customHeight="1">
      <c r="A53" s="699"/>
      <c r="B53" s="719"/>
      <c r="C53" s="81">
        <v>2019</v>
      </c>
      <c r="D53" s="721">
        <f t="shared" si="8"/>
        <v>65</v>
      </c>
      <c r="E53" s="722"/>
      <c r="F53" s="721">
        <f t="shared" si="7"/>
        <v>0</v>
      </c>
      <c r="G53" s="721"/>
      <c r="H53" s="721">
        <v>0</v>
      </c>
      <c r="I53" s="723">
        <v>65</v>
      </c>
      <c r="J53" s="721"/>
      <c r="K53" s="85" t="s">
        <v>179</v>
      </c>
      <c r="L53" s="706"/>
    </row>
    <row r="54" spans="1:12" ht="18" customHeight="1">
      <c r="A54" s="699"/>
      <c r="B54" s="719"/>
      <c r="C54" s="81"/>
      <c r="D54" s="721">
        <f t="shared" si="8"/>
        <v>56</v>
      </c>
      <c r="E54" s="722"/>
      <c r="F54" s="721">
        <f t="shared" si="7"/>
        <v>0</v>
      </c>
      <c r="G54" s="721"/>
      <c r="H54" s="721">
        <v>0</v>
      </c>
      <c r="I54" s="723">
        <v>56</v>
      </c>
      <c r="J54" s="721"/>
      <c r="K54" s="85" t="s">
        <v>124</v>
      </c>
      <c r="L54" s="706"/>
    </row>
    <row r="55" spans="1:12" ht="18" customHeight="1">
      <c r="A55" s="699"/>
      <c r="B55" s="719"/>
      <c r="C55" s="81">
        <v>2020</v>
      </c>
      <c r="D55" s="721">
        <f t="shared" si="8"/>
        <v>173.5</v>
      </c>
      <c r="E55" s="722"/>
      <c r="F55" s="721">
        <f t="shared" si="7"/>
        <v>0</v>
      </c>
      <c r="G55" s="721"/>
      <c r="H55" s="721">
        <v>0</v>
      </c>
      <c r="I55" s="723">
        <f>185.885-0.015-12.37</f>
        <v>173.5</v>
      </c>
      <c r="J55" s="721"/>
      <c r="K55" s="85" t="s">
        <v>179</v>
      </c>
      <c r="L55" s="706"/>
    </row>
    <row r="56" spans="1:12" ht="18" customHeight="1">
      <c r="A56" s="699"/>
      <c r="B56" s="719"/>
      <c r="C56" s="81"/>
      <c r="D56" s="721">
        <f t="shared" si="8"/>
        <v>166.1</v>
      </c>
      <c r="E56" s="722"/>
      <c r="F56" s="721">
        <f t="shared" si="7"/>
        <v>0</v>
      </c>
      <c r="G56" s="721"/>
      <c r="H56" s="721">
        <v>0</v>
      </c>
      <c r="I56" s="723">
        <v>166.1</v>
      </c>
      <c r="J56" s="721"/>
      <c r="K56" s="85" t="s">
        <v>124</v>
      </c>
      <c r="L56" s="706"/>
    </row>
    <row r="57" spans="1:12" ht="18" customHeight="1">
      <c r="A57" s="699"/>
      <c r="B57" s="719"/>
      <c r="C57" s="81">
        <v>2021</v>
      </c>
      <c r="D57" s="721">
        <f t="shared" si="8"/>
        <v>0</v>
      </c>
      <c r="E57" s="722"/>
      <c r="F57" s="721">
        <f t="shared" si="7"/>
        <v>0</v>
      </c>
      <c r="G57" s="721"/>
      <c r="H57" s="721">
        <v>0</v>
      </c>
      <c r="I57" s="723">
        <v>0</v>
      </c>
      <c r="J57" s="721"/>
      <c r="K57" s="85" t="s">
        <v>179</v>
      </c>
      <c r="L57" s="706"/>
    </row>
    <row r="58" spans="1:12" ht="18" customHeight="1">
      <c r="A58" s="699"/>
      <c r="B58" s="719"/>
      <c r="C58" s="81"/>
      <c r="D58" s="722">
        <f t="shared" si="8"/>
        <v>0</v>
      </c>
      <c r="E58" s="722"/>
      <c r="F58" s="721">
        <f t="shared" si="7"/>
        <v>0</v>
      </c>
      <c r="G58" s="721"/>
      <c r="H58" s="721">
        <v>0</v>
      </c>
      <c r="I58" s="723">
        <v>0</v>
      </c>
      <c r="J58" s="721"/>
      <c r="K58" s="85" t="s">
        <v>124</v>
      </c>
      <c r="L58" s="706"/>
    </row>
    <row r="59" spans="1:12" ht="18" customHeight="1">
      <c r="A59" s="699"/>
      <c r="B59" s="719"/>
      <c r="C59" s="71">
        <v>2022</v>
      </c>
      <c r="D59" s="722">
        <f t="shared" si="8"/>
        <v>0</v>
      </c>
      <c r="E59" s="722"/>
      <c r="F59" s="721">
        <f t="shared" si="7"/>
        <v>0</v>
      </c>
      <c r="G59" s="721"/>
      <c r="H59" s="721">
        <v>0</v>
      </c>
      <c r="I59" s="723">
        <v>0</v>
      </c>
      <c r="J59" s="721"/>
      <c r="K59" s="85" t="s">
        <v>179</v>
      </c>
      <c r="L59" s="706"/>
    </row>
    <row r="60" spans="1:12" ht="18" customHeight="1">
      <c r="A60" s="699"/>
      <c r="B60" s="719"/>
      <c r="C60" s="71"/>
      <c r="D60" s="722">
        <f t="shared" si="8"/>
        <v>0</v>
      </c>
      <c r="E60" s="722"/>
      <c r="F60" s="721">
        <f t="shared" si="7"/>
        <v>0</v>
      </c>
      <c r="G60" s="721"/>
      <c r="H60" s="721">
        <v>0</v>
      </c>
      <c r="I60" s="723">
        <v>0</v>
      </c>
      <c r="J60" s="721"/>
      <c r="K60" s="85" t="s">
        <v>124</v>
      </c>
      <c r="L60" s="706"/>
    </row>
    <row r="61" spans="1:12" ht="18" customHeight="1">
      <c r="A61" s="699"/>
      <c r="B61" s="719"/>
      <c r="C61" s="71">
        <v>2023</v>
      </c>
      <c r="D61" s="722">
        <f t="shared" si="8"/>
        <v>0</v>
      </c>
      <c r="E61" s="722"/>
      <c r="F61" s="721">
        <f t="shared" si="7"/>
        <v>0</v>
      </c>
      <c r="G61" s="721"/>
      <c r="H61" s="721">
        <v>0</v>
      </c>
      <c r="I61" s="723">
        <v>0</v>
      </c>
      <c r="J61" s="721"/>
      <c r="K61" s="85" t="s">
        <v>179</v>
      </c>
      <c r="L61" s="706"/>
    </row>
    <row r="62" spans="1:12" ht="18" customHeight="1">
      <c r="A62" s="699"/>
      <c r="B62" s="719"/>
      <c r="C62" s="71"/>
      <c r="D62" s="722">
        <f t="shared" si="8"/>
        <v>0</v>
      </c>
      <c r="E62" s="722"/>
      <c r="F62" s="721">
        <f t="shared" si="7"/>
        <v>0</v>
      </c>
      <c r="G62" s="721"/>
      <c r="H62" s="721">
        <v>0</v>
      </c>
      <c r="I62" s="723">
        <v>0</v>
      </c>
      <c r="J62" s="721"/>
      <c r="K62" s="85" t="s">
        <v>124</v>
      </c>
      <c r="L62" s="706"/>
    </row>
    <row r="63" spans="1:12" ht="18" customHeight="1">
      <c r="A63" s="699" t="s">
        <v>389</v>
      </c>
      <c r="B63" s="719" t="s">
        <v>390</v>
      </c>
      <c r="C63" s="71">
        <v>2017</v>
      </c>
      <c r="D63" s="722">
        <f t="shared" si="8"/>
        <v>680.121</v>
      </c>
      <c r="E63" s="722"/>
      <c r="F63" s="721">
        <f t="shared" si="7"/>
        <v>0</v>
      </c>
      <c r="G63" s="721"/>
      <c r="H63" s="721">
        <v>0</v>
      </c>
      <c r="I63" s="723">
        <v>680.121</v>
      </c>
      <c r="J63" s="721"/>
      <c r="K63" s="717" t="s">
        <v>63</v>
      </c>
      <c r="L63" s="706"/>
    </row>
    <row r="64" spans="1:12" ht="18" customHeight="1">
      <c r="A64" s="699"/>
      <c r="B64" s="719"/>
      <c r="C64" s="71">
        <v>2018</v>
      </c>
      <c r="D64" s="722">
        <f t="shared" si="8"/>
        <v>901</v>
      </c>
      <c r="E64" s="722"/>
      <c r="F64" s="721">
        <f t="shared" si="7"/>
        <v>0</v>
      </c>
      <c r="G64" s="721"/>
      <c r="H64" s="721">
        <v>0</v>
      </c>
      <c r="I64" s="724">
        <v>901</v>
      </c>
      <c r="J64" s="721"/>
      <c r="K64" s="718" t="s">
        <v>391</v>
      </c>
      <c r="L64" s="706"/>
    </row>
    <row r="65" spans="1:12" ht="18" customHeight="1">
      <c r="A65" s="699"/>
      <c r="B65" s="719"/>
      <c r="C65" s="71">
        <v>2019</v>
      </c>
      <c r="D65" s="722">
        <f t="shared" si="8"/>
        <v>3296.36711</v>
      </c>
      <c r="E65" s="722"/>
      <c r="F65" s="721">
        <f t="shared" si="7"/>
        <v>0</v>
      </c>
      <c r="G65" s="721"/>
      <c r="H65" s="721">
        <v>0</v>
      </c>
      <c r="I65" s="724">
        <v>1424.61511</v>
      </c>
      <c r="J65" s="721">
        <v>1871.752</v>
      </c>
      <c r="K65" s="717" t="s">
        <v>179</v>
      </c>
      <c r="L65" s="706"/>
    </row>
    <row r="66" spans="1:12" ht="18" customHeight="1">
      <c r="A66" s="699"/>
      <c r="B66" s="719"/>
      <c r="C66" s="71"/>
      <c r="D66" s="722">
        <f t="shared" si="8"/>
        <v>1324.966</v>
      </c>
      <c r="E66" s="722"/>
      <c r="F66" s="721">
        <f t="shared" si="7"/>
        <v>0</v>
      </c>
      <c r="G66" s="721"/>
      <c r="H66" s="721">
        <v>0</v>
      </c>
      <c r="I66" s="723">
        <v>589.421</v>
      </c>
      <c r="J66" s="721">
        <v>735.545</v>
      </c>
      <c r="K66" s="718" t="s">
        <v>124</v>
      </c>
      <c r="L66" s="706"/>
    </row>
    <row r="67" spans="1:12" ht="18" customHeight="1">
      <c r="A67" s="699"/>
      <c r="B67" s="719"/>
      <c r="C67" s="71">
        <v>2020</v>
      </c>
      <c r="D67" s="722">
        <f t="shared" si="8"/>
        <v>1098.73</v>
      </c>
      <c r="E67" s="722"/>
      <c r="F67" s="721">
        <f t="shared" si="7"/>
        <v>0</v>
      </c>
      <c r="G67" s="721"/>
      <c r="H67" s="721">
        <v>0</v>
      </c>
      <c r="I67" s="723">
        <f>1038.715+0.015+60</f>
        <v>1098.73</v>
      </c>
      <c r="J67" s="721"/>
      <c r="K67" s="717" t="s">
        <v>179</v>
      </c>
      <c r="L67" s="706"/>
    </row>
    <row r="68" spans="1:12" ht="18" customHeight="1">
      <c r="A68" s="699"/>
      <c r="B68" s="719"/>
      <c r="C68" s="71"/>
      <c r="D68" s="722">
        <f t="shared" si="8"/>
        <v>595.17</v>
      </c>
      <c r="E68" s="722"/>
      <c r="F68" s="721">
        <f t="shared" si="7"/>
        <v>0</v>
      </c>
      <c r="G68" s="721"/>
      <c r="H68" s="721">
        <v>0</v>
      </c>
      <c r="I68" s="724">
        <f>355.169+0.001+300-60</f>
        <v>595.17</v>
      </c>
      <c r="J68" s="721"/>
      <c r="K68" s="718" t="s">
        <v>124</v>
      </c>
      <c r="L68" s="706"/>
    </row>
    <row r="69" spans="1:12" ht="18" customHeight="1">
      <c r="A69" s="699"/>
      <c r="B69" s="719"/>
      <c r="C69" s="71">
        <v>2021</v>
      </c>
      <c r="D69" s="722">
        <f t="shared" si="8"/>
        <v>1703.81</v>
      </c>
      <c r="E69" s="722"/>
      <c r="F69" s="721">
        <f t="shared" si="7"/>
        <v>0</v>
      </c>
      <c r="G69" s="721"/>
      <c r="H69" s="721">
        <v>0</v>
      </c>
      <c r="I69" s="725">
        <v>1703.81</v>
      </c>
      <c r="J69" s="721"/>
      <c r="K69" s="717" t="s">
        <v>179</v>
      </c>
      <c r="L69" s="706"/>
    </row>
    <row r="70" spans="1:12" ht="18" customHeight="1">
      <c r="A70" s="699"/>
      <c r="B70" s="719"/>
      <c r="C70" s="71"/>
      <c r="D70" s="722">
        <f t="shared" si="8"/>
        <v>1016.799</v>
      </c>
      <c r="E70" s="722"/>
      <c r="F70" s="721">
        <f t="shared" si="7"/>
        <v>0</v>
      </c>
      <c r="G70" s="721"/>
      <c r="H70" s="721">
        <v>0</v>
      </c>
      <c r="I70" s="723">
        <v>1016.799</v>
      </c>
      <c r="J70" s="721"/>
      <c r="K70" s="718" t="s">
        <v>124</v>
      </c>
      <c r="L70" s="706"/>
    </row>
    <row r="71" spans="1:12" ht="18" customHeight="1">
      <c r="A71" s="699"/>
      <c r="B71" s="719"/>
      <c r="C71" s="71">
        <v>2022</v>
      </c>
      <c r="D71" s="722">
        <f t="shared" si="8"/>
        <v>1630</v>
      </c>
      <c r="E71" s="722"/>
      <c r="F71" s="721">
        <f t="shared" si="7"/>
        <v>0</v>
      </c>
      <c r="G71" s="721"/>
      <c r="H71" s="721">
        <v>0</v>
      </c>
      <c r="I71" s="724">
        <v>1630</v>
      </c>
      <c r="J71" s="721"/>
      <c r="K71" s="717" t="s">
        <v>179</v>
      </c>
      <c r="L71" s="706"/>
    </row>
    <row r="72" spans="1:12" ht="18" customHeight="1">
      <c r="A72" s="699"/>
      <c r="B72" s="719"/>
      <c r="C72" s="71"/>
      <c r="D72" s="722">
        <f t="shared" si="8"/>
        <v>982.2</v>
      </c>
      <c r="E72" s="722"/>
      <c r="F72" s="721">
        <f t="shared" si="7"/>
        <v>0</v>
      </c>
      <c r="G72" s="721"/>
      <c r="H72" s="721">
        <v>0</v>
      </c>
      <c r="I72" s="724">
        <v>982.2</v>
      </c>
      <c r="J72" s="721"/>
      <c r="K72" s="718" t="s">
        <v>124</v>
      </c>
      <c r="L72" s="706"/>
    </row>
    <row r="73" spans="1:12" ht="18" customHeight="1">
      <c r="A73" s="699"/>
      <c r="B73" s="719"/>
      <c r="C73" s="71">
        <v>2023</v>
      </c>
      <c r="D73" s="722">
        <f t="shared" si="8"/>
        <v>0</v>
      </c>
      <c r="E73" s="722"/>
      <c r="F73" s="721">
        <f t="shared" si="7"/>
        <v>0</v>
      </c>
      <c r="G73" s="721"/>
      <c r="H73" s="721">
        <v>0</v>
      </c>
      <c r="I73" s="724">
        <v>0</v>
      </c>
      <c r="J73" s="721"/>
      <c r="K73" s="717" t="s">
        <v>179</v>
      </c>
      <c r="L73" s="706"/>
    </row>
    <row r="74" spans="1:12" ht="18" customHeight="1">
      <c r="A74" s="699"/>
      <c r="B74" s="719"/>
      <c r="C74" s="71"/>
      <c r="D74" s="722">
        <f t="shared" si="8"/>
        <v>0</v>
      </c>
      <c r="E74" s="722"/>
      <c r="F74" s="721">
        <f t="shared" si="7"/>
        <v>0</v>
      </c>
      <c r="G74" s="721"/>
      <c r="H74" s="721">
        <v>0</v>
      </c>
      <c r="I74" s="724">
        <v>0</v>
      </c>
      <c r="J74" s="721"/>
      <c r="K74" s="718" t="s">
        <v>124</v>
      </c>
      <c r="L74" s="706"/>
    </row>
    <row r="75" spans="1:12" ht="18" customHeight="1">
      <c r="A75" s="699"/>
      <c r="B75" s="719"/>
      <c r="C75" s="71">
        <v>2024</v>
      </c>
      <c r="D75" s="722">
        <f t="shared" si="8"/>
        <v>0</v>
      </c>
      <c r="E75" s="722"/>
      <c r="F75" s="721">
        <f t="shared" si="7"/>
        <v>0</v>
      </c>
      <c r="G75" s="721"/>
      <c r="H75" s="721">
        <v>0</v>
      </c>
      <c r="I75" s="724">
        <v>0</v>
      </c>
      <c r="J75" s="721"/>
      <c r="K75" s="717" t="s">
        <v>179</v>
      </c>
      <c r="L75" s="706"/>
    </row>
    <row r="76" spans="1:12" ht="18" customHeight="1">
      <c r="A76" s="699"/>
      <c r="B76" s="719"/>
      <c r="C76" s="71"/>
      <c r="D76" s="722">
        <f t="shared" si="8"/>
        <v>0</v>
      </c>
      <c r="E76" s="722"/>
      <c r="F76" s="721">
        <f t="shared" si="7"/>
        <v>0</v>
      </c>
      <c r="G76" s="721"/>
      <c r="H76" s="721">
        <v>0</v>
      </c>
      <c r="I76" s="724">
        <v>0</v>
      </c>
      <c r="J76" s="721"/>
      <c r="K76" s="718" t="s">
        <v>124</v>
      </c>
      <c r="L76" s="706"/>
    </row>
    <row r="77" spans="1:12" ht="19.5" customHeight="1">
      <c r="A77" s="699" t="s">
        <v>78</v>
      </c>
      <c r="B77" s="78" t="s">
        <v>392</v>
      </c>
      <c r="C77" s="71">
        <v>2017</v>
      </c>
      <c r="D77" s="722">
        <f t="shared" si="8"/>
        <v>447.219</v>
      </c>
      <c r="E77" s="722"/>
      <c r="F77" s="721">
        <f t="shared" si="7"/>
        <v>0</v>
      </c>
      <c r="G77" s="725"/>
      <c r="H77" s="721">
        <v>0</v>
      </c>
      <c r="I77" s="723">
        <v>447.219</v>
      </c>
      <c r="J77" s="721"/>
      <c r="K77" s="718" t="s">
        <v>63</v>
      </c>
      <c r="L77" s="706"/>
    </row>
    <row r="78" spans="1:12" ht="19.5" customHeight="1">
      <c r="A78" s="699"/>
      <c r="B78" s="78"/>
      <c r="C78" s="71">
        <v>2018</v>
      </c>
      <c r="D78" s="722">
        <f t="shared" si="8"/>
        <v>41.78649999999999</v>
      </c>
      <c r="E78" s="722"/>
      <c r="F78" s="721">
        <f t="shared" si="7"/>
        <v>0</v>
      </c>
      <c r="G78" s="81"/>
      <c r="H78" s="721">
        <v>0</v>
      </c>
      <c r="I78" s="723">
        <f>375-52.195-281.0185</f>
        <v>41.78649999999999</v>
      </c>
      <c r="J78" s="721"/>
      <c r="K78" s="718" t="s">
        <v>179</v>
      </c>
      <c r="L78" s="706"/>
    </row>
    <row r="79" spans="1:12" ht="19.5" customHeight="1">
      <c r="A79" s="699"/>
      <c r="B79" s="78"/>
      <c r="C79" s="71">
        <v>2019</v>
      </c>
      <c r="D79" s="722">
        <f t="shared" si="8"/>
        <v>0</v>
      </c>
      <c r="E79" s="722"/>
      <c r="F79" s="721">
        <f t="shared" si="7"/>
        <v>0</v>
      </c>
      <c r="G79" s="81"/>
      <c r="H79" s="721">
        <v>0</v>
      </c>
      <c r="I79" s="723">
        <v>0</v>
      </c>
      <c r="J79" s="721"/>
      <c r="K79" s="718" t="s">
        <v>63</v>
      </c>
      <c r="L79" s="706"/>
    </row>
    <row r="80" spans="1:12" ht="19.5" customHeight="1">
      <c r="A80" s="699"/>
      <c r="B80" s="78"/>
      <c r="C80" s="71">
        <v>2020</v>
      </c>
      <c r="D80" s="722">
        <f t="shared" si="8"/>
        <v>0</v>
      </c>
      <c r="E80" s="722"/>
      <c r="F80" s="721">
        <f t="shared" si="7"/>
        <v>0</v>
      </c>
      <c r="G80" s="81"/>
      <c r="H80" s="721">
        <v>0</v>
      </c>
      <c r="I80" s="723">
        <v>0</v>
      </c>
      <c r="J80" s="721"/>
      <c r="K80" s="718" t="s">
        <v>63</v>
      </c>
      <c r="L80" s="706"/>
    </row>
    <row r="81" spans="1:12" ht="19.5" customHeight="1">
      <c r="A81" s="699"/>
      <c r="B81" s="78"/>
      <c r="C81" s="71">
        <v>2021</v>
      </c>
      <c r="D81" s="722">
        <f t="shared" si="8"/>
        <v>0</v>
      </c>
      <c r="E81" s="722"/>
      <c r="F81" s="721">
        <f t="shared" si="7"/>
        <v>0</v>
      </c>
      <c r="G81" s="81"/>
      <c r="H81" s="721">
        <v>0</v>
      </c>
      <c r="I81" s="723">
        <v>0</v>
      </c>
      <c r="J81" s="721"/>
      <c r="K81" s="718" t="s">
        <v>63</v>
      </c>
      <c r="L81" s="706"/>
    </row>
    <row r="82" spans="1:12" ht="19.5" customHeight="1">
      <c r="A82" s="699"/>
      <c r="B82" s="78"/>
      <c r="C82" s="71">
        <v>2022</v>
      </c>
      <c r="D82" s="722">
        <f t="shared" si="8"/>
        <v>0</v>
      </c>
      <c r="E82" s="722"/>
      <c r="F82" s="721">
        <f t="shared" si="7"/>
        <v>0</v>
      </c>
      <c r="G82" s="81"/>
      <c r="H82" s="721">
        <v>0</v>
      </c>
      <c r="I82" s="723">
        <v>0</v>
      </c>
      <c r="J82" s="721"/>
      <c r="K82" s="718" t="s">
        <v>63</v>
      </c>
      <c r="L82" s="706"/>
    </row>
    <row r="83" spans="1:12" ht="19.5" customHeight="1">
      <c r="A83" s="699" t="s">
        <v>83</v>
      </c>
      <c r="B83" s="78" t="s">
        <v>393</v>
      </c>
      <c r="C83" s="71">
        <v>2017</v>
      </c>
      <c r="D83" s="722">
        <f t="shared" si="8"/>
        <v>416.493</v>
      </c>
      <c r="E83" s="722"/>
      <c r="F83" s="721">
        <f t="shared" si="7"/>
        <v>0</v>
      </c>
      <c r="G83" s="711"/>
      <c r="H83" s="721">
        <v>0</v>
      </c>
      <c r="I83" s="723">
        <v>416.493</v>
      </c>
      <c r="J83" s="721"/>
      <c r="K83" s="718" t="s">
        <v>63</v>
      </c>
      <c r="L83" s="706" t="s">
        <v>394</v>
      </c>
    </row>
    <row r="84" spans="1:12" ht="22.5" customHeight="1">
      <c r="A84" s="699"/>
      <c r="B84" s="78"/>
      <c r="C84" s="71">
        <v>2018</v>
      </c>
      <c r="D84" s="722">
        <f>E84+E85+F84+F85+I84+I85+J84+J85</f>
        <v>101</v>
      </c>
      <c r="E84" s="722"/>
      <c r="F84" s="721">
        <f t="shared" si="7"/>
        <v>0</v>
      </c>
      <c r="G84" s="711"/>
      <c r="H84" s="721">
        <v>0</v>
      </c>
      <c r="I84" s="723">
        <v>51</v>
      </c>
      <c r="J84" s="721"/>
      <c r="K84" s="718" t="s">
        <v>179</v>
      </c>
      <c r="L84" s="706"/>
    </row>
    <row r="85" spans="1:12" ht="22.5" customHeight="1">
      <c r="A85" s="699"/>
      <c r="B85" s="78"/>
      <c r="C85" s="71"/>
      <c r="D85" s="722"/>
      <c r="E85" s="722"/>
      <c r="F85" s="721">
        <f t="shared" si="7"/>
        <v>0</v>
      </c>
      <c r="G85" s="726"/>
      <c r="H85" s="721">
        <v>0</v>
      </c>
      <c r="I85" s="723">
        <v>50</v>
      </c>
      <c r="J85" s="721"/>
      <c r="K85" s="718" t="s">
        <v>124</v>
      </c>
      <c r="L85" s="706"/>
    </row>
    <row r="86" spans="1:12" ht="22.5" customHeight="1">
      <c r="A86" s="699"/>
      <c r="B86" s="78"/>
      <c r="C86" s="71">
        <v>2019</v>
      </c>
      <c r="D86" s="722">
        <f aca="true" t="shared" si="9" ref="D86:D95">E86+F86+I86+J86</f>
        <v>200</v>
      </c>
      <c r="E86" s="722"/>
      <c r="F86" s="721">
        <f t="shared" si="7"/>
        <v>0</v>
      </c>
      <c r="G86" s="85"/>
      <c r="H86" s="721">
        <v>0</v>
      </c>
      <c r="I86" s="723">
        <v>200</v>
      </c>
      <c r="J86" s="721"/>
      <c r="K86" s="727" t="s">
        <v>395</v>
      </c>
      <c r="L86" s="706"/>
    </row>
    <row r="87" spans="1:12" ht="22.5" customHeight="1">
      <c r="A87" s="699"/>
      <c r="B87" s="78"/>
      <c r="C87" s="411">
        <v>2020</v>
      </c>
      <c r="D87" s="728">
        <f t="shared" si="9"/>
        <v>200</v>
      </c>
      <c r="E87" s="729"/>
      <c r="F87" s="730">
        <f t="shared" si="7"/>
        <v>0</v>
      </c>
      <c r="G87" s="731"/>
      <c r="H87" s="721">
        <v>0</v>
      </c>
      <c r="I87" s="732">
        <v>200</v>
      </c>
      <c r="J87" s="733"/>
      <c r="K87" s="727"/>
      <c r="L87" s="706"/>
    </row>
    <row r="88" spans="1:12" ht="22.5" customHeight="1">
      <c r="A88" s="699"/>
      <c r="B88" s="78"/>
      <c r="C88" s="71">
        <v>2021</v>
      </c>
      <c r="D88" s="734">
        <f t="shared" si="9"/>
        <v>200</v>
      </c>
      <c r="E88" s="94"/>
      <c r="F88" s="735">
        <f t="shared" si="7"/>
        <v>0</v>
      </c>
      <c r="G88" s="736"/>
      <c r="H88" s="721">
        <v>0</v>
      </c>
      <c r="I88" s="723">
        <v>200</v>
      </c>
      <c r="J88" s="737"/>
      <c r="K88" s="727"/>
      <c r="L88" s="706"/>
    </row>
    <row r="89" spans="1:12" ht="24" customHeight="1">
      <c r="A89" s="699"/>
      <c r="B89" s="78"/>
      <c r="C89" s="71">
        <v>2022</v>
      </c>
      <c r="D89" s="734">
        <f t="shared" si="9"/>
        <v>200</v>
      </c>
      <c r="E89" s="94"/>
      <c r="F89" s="735">
        <f t="shared" si="7"/>
        <v>0</v>
      </c>
      <c r="G89" s="736"/>
      <c r="H89" s="721">
        <v>0</v>
      </c>
      <c r="I89" s="723">
        <v>200</v>
      </c>
      <c r="J89" s="737"/>
      <c r="K89" s="727" t="s">
        <v>396</v>
      </c>
      <c r="L89" s="706"/>
    </row>
    <row r="90" spans="1:12" ht="22.5" customHeight="1">
      <c r="A90" s="699"/>
      <c r="B90" s="718"/>
      <c r="C90" s="71">
        <v>2023</v>
      </c>
      <c r="D90" s="734">
        <f t="shared" si="9"/>
        <v>0</v>
      </c>
      <c r="E90" s="94"/>
      <c r="F90" s="735">
        <f t="shared" si="7"/>
        <v>0</v>
      </c>
      <c r="G90" s="736"/>
      <c r="H90" s="721">
        <v>0</v>
      </c>
      <c r="I90" s="723">
        <v>0</v>
      </c>
      <c r="J90" s="737"/>
      <c r="K90" s="727"/>
      <c r="L90" s="706"/>
    </row>
    <row r="91" spans="1:12" ht="22.5" customHeight="1">
      <c r="A91" s="699"/>
      <c r="B91" s="718"/>
      <c r="C91" s="71">
        <v>2024</v>
      </c>
      <c r="D91" s="734">
        <f t="shared" si="9"/>
        <v>0</v>
      </c>
      <c r="E91" s="94"/>
      <c r="F91" s="735"/>
      <c r="G91" s="736"/>
      <c r="H91" s="721">
        <v>0</v>
      </c>
      <c r="I91" s="723">
        <v>0</v>
      </c>
      <c r="J91" s="737"/>
      <c r="K91" s="727"/>
      <c r="L91" s="706"/>
    </row>
    <row r="92" spans="1:12" ht="83.25" customHeight="1">
      <c r="A92" s="699" t="s">
        <v>86</v>
      </c>
      <c r="B92" s="284" t="s">
        <v>397</v>
      </c>
      <c r="C92" s="71">
        <v>2021</v>
      </c>
      <c r="D92" s="734">
        <f t="shared" si="9"/>
        <v>16.7</v>
      </c>
      <c r="E92" s="94"/>
      <c r="F92" s="735">
        <f aca="true" t="shared" si="10" ref="F92:F95">G92+H92</f>
        <v>0</v>
      </c>
      <c r="G92" s="736"/>
      <c r="H92" s="721">
        <v>0</v>
      </c>
      <c r="I92" s="723">
        <v>16.7</v>
      </c>
      <c r="J92" s="737"/>
      <c r="K92" s="81" t="s">
        <v>179</v>
      </c>
      <c r="L92" s="706"/>
    </row>
    <row r="93" spans="1:12" ht="89.25" customHeight="1">
      <c r="A93" s="699"/>
      <c r="B93" s="284" t="s">
        <v>398</v>
      </c>
      <c r="C93" s="71"/>
      <c r="D93" s="734">
        <f t="shared" si="9"/>
        <v>134.987</v>
      </c>
      <c r="E93" s="94"/>
      <c r="F93" s="735">
        <f t="shared" si="10"/>
        <v>0</v>
      </c>
      <c r="G93" s="736"/>
      <c r="H93" s="721">
        <v>0</v>
      </c>
      <c r="I93" s="723">
        <v>134.987</v>
      </c>
      <c r="J93" s="737"/>
      <c r="K93" s="81" t="s">
        <v>179</v>
      </c>
      <c r="L93" s="706"/>
    </row>
    <row r="94" spans="1:12" ht="19.5" customHeight="1">
      <c r="A94" s="699"/>
      <c r="B94" s="411" t="s">
        <v>160</v>
      </c>
      <c r="C94" s="738">
        <v>2017</v>
      </c>
      <c r="D94" s="732">
        <f t="shared" si="9"/>
        <v>4979.718</v>
      </c>
      <c r="E94" s="732"/>
      <c r="F94" s="732">
        <f t="shared" si="10"/>
        <v>2078</v>
      </c>
      <c r="G94" s="732">
        <f>G31+G77+G83</f>
        <v>0</v>
      </c>
      <c r="H94" s="732">
        <f>H31+H77+H83</f>
        <v>2078</v>
      </c>
      <c r="I94" s="732">
        <f>I31+I77+I83</f>
        <v>2901.718</v>
      </c>
      <c r="J94" s="732">
        <f>J31+J77+J83</f>
        <v>0</v>
      </c>
      <c r="K94" s="739"/>
      <c r="L94" s="740"/>
    </row>
    <row r="95" spans="1:12" ht="19.5" customHeight="1">
      <c r="A95" s="699"/>
      <c r="B95" s="411"/>
      <c r="C95" s="738">
        <v>2018</v>
      </c>
      <c r="D95" s="732">
        <f t="shared" si="9"/>
        <v>4613.378500000001</v>
      </c>
      <c r="E95" s="732"/>
      <c r="F95" s="732">
        <f t="shared" si="10"/>
        <v>2215</v>
      </c>
      <c r="G95" s="732">
        <f>G32+G78+G84+G85</f>
        <v>0</v>
      </c>
      <c r="H95" s="732">
        <f>H32+H78+H84+H85</f>
        <v>2215</v>
      </c>
      <c r="I95" s="732">
        <f>I32+I78+I84+I85</f>
        <v>2398.3785000000003</v>
      </c>
      <c r="J95" s="732">
        <f>J32+J78+J84+J85</f>
        <v>0</v>
      </c>
      <c r="K95" s="85"/>
      <c r="L95" s="740"/>
    </row>
    <row r="96" spans="1:12" ht="19.5" customHeight="1">
      <c r="A96" s="699"/>
      <c r="B96" s="411"/>
      <c r="C96" s="738">
        <v>2019</v>
      </c>
      <c r="D96" s="732">
        <f>D86+D79+D33</f>
        <v>8985.133109999999</v>
      </c>
      <c r="E96" s="732"/>
      <c r="F96" s="732">
        <f>F86+F79+F33</f>
        <v>2292</v>
      </c>
      <c r="G96" s="732">
        <f>G86+G79+G33</f>
        <v>0</v>
      </c>
      <c r="H96" s="732">
        <f>H86+H79+H33</f>
        <v>2292</v>
      </c>
      <c r="I96" s="732">
        <f>I86+I79+I33</f>
        <v>4085.83611</v>
      </c>
      <c r="J96" s="732">
        <f>J86+J79+J33</f>
        <v>2607.297</v>
      </c>
      <c r="K96" s="85"/>
      <c r="L96" s="740"/>
    </row>
    <row r="97" spans="1:12" ht="19.5" customHeight="1">
      <c r="A97" s="699"/>
      <c r="B97" s="411"/>
      <c r="C97" s="738">
        <v>2020</v>
      </c>
      <c r="D97" s="732">
        <f>D16+D34+D80+D87</f>
        <v>9845.400000000001</v>
      </c>
      <c r="E97" s="732">
        <f>E16+E34+E80+E87</f>
        <v>0</v>
      </c>
      <c r="F97" s="732">
        <f>F16+F34+F80+F87</f>
        <v>5924.2</v>
      </c>
      <c r="G97" s="732">
        <f>G16+G34+G80+G87</f>
        <v>3250</v>
      </c>
      <c r="H97" s="732">
        <f>H16+H34+H80+H87</f>
        <v>2674.2</v>
      </c>
      <c r="I97" s="732">
        <f>I16+I34+I80+I87</f>
        <v>3921.2000000000003</v>
      </c>
      <c r="J97" s="732">
        <f>J16+J34</f>
        <v>0</v>
      </c>
      <c r="K97" s="85"/>
      <c r="L97" s="740"/>
    </row>
    <row r="98" spans="1:16" ht="19.5" customHeight="1">
      <c r="A98" s="699"/>
      <c r="B98" s="411"/>
      <c r="C98" s="738">
        <v>2021</v>
      </c>
      <c r="D98" s="732">
        <f>D19+D35+D92+D93</f>
        <v>11581.395999999999</v>
      </c>
      <c r="E98" s="732">
        <f>E19+E35+E92+E93</f>
        <v>0</v>
      </c>
      <c r="F98" s="732">
        <f>F19+F35+F92+F93</f>
        <v>8275.1</v>
      </c>
      <c r="G98" s="732">
        <f>G19+G35+G92+G93</f>
        <v>8041.1</v>
      </c>
      <c r="H98" s="732">
        <f>H19+H35+H92+H93</f>
        <v>234</v>
      </c>
      <c r="I98" s="732">
        <f>I19+I35+I92+I93</f>
        <v>3306.296</v>
      </c>
      <c r="J98" s="732">
        <f>J19+J35+J92+J93</f>
        <v>0</v>
      </c>
      <c r="K98" s="85"/>
      <c r="L98" s="740"/>
      <c r="P98" s="741"/>
    </row>
    <row r="99" spans="1:14" ht="19.5" customHeight="1">
      <c r="A99" s="699"/>
      <c r="B99" s="411"/>
      <c r="C99" s="738">
        <v>2022</v>
      </c>
      <c r="D99" s="732">
        <f>D36+D22</f>
        <v>12008.599999999999</v>
      </c>
      <c r="E99" s="732">
        <f>E36+E22</f>
        <v>0</v>
      </c>
      <c r="F99" s="732">
        <f>F36+F22</f>
        <v>8644.599999999999</v>
      </c>
      <c r="G99" s="732">
        <f>G36+G22</f>
        <v>8644.599999999999</v>
      </c>
      <c r="H99" s="732">
        <f>H36+H22</f>
        <v>0</v>
      </c>
      <c r="I99" s="732">
        <f>I36+I22</f>
        <v>3364</v>
      </c>
      <c r="J99" s="732">
        <f>J36+J22</f>
        <v>0</v>
      </c>
      <c r="K99" s="85"/>
      <c r="L99" s="740"/>
      <c r="N99" s="741"/>
    </row>
    <row r="100" spans="1:12" ht="19.5" customHeight="1">
      <c r="A100" s="699"/>
      <c r="B100" s="411"/>
      <c r="C100" s="738">
        <v>2023</v>
      </c>
      <c r="D100" s="732">
        <f>D25+D37+D90</f>
        <v>9178.5</v>
      </c>
      <c r="E100" s="732">
        <f aca="true" t="shared" si="11" ref="E100:E101">E25+E37+E90</f>
        <v>0</v>
      </c>
      <c r="F100" s="732">
        <f>F25+F37+F90</f>
        <v>8627.8</v>
      </c>
      <c r="G100" s="732">
        <f>G25+G37+G90</f>
        <v>8627.8</v>
      </c>
      <c r="H100" s="732">
        <f>H25+H37+H90</f>
        <v>0</v>
      </c>
      <c r="I100" s="732">
        <f>I25+I37+I90</f>
        <v>550.7</v>
      </c>
      <c r="J100" s="732">
        <f aca="true" t="shared" si="12" ref="J100:J101">J25+J37+J90</f>
        <v>0</v>
      </c>
      <c r="K100" s="85"/>
      <c r="L100" s="740"/>
    </row>
    <row r="101" spans="1:12" ht="19.5" customHeight="1">
      <c r="A101" s="699"/>
      <c r="B101" s="411"/>
      <c r="C101" s="738">
        <v>2024</v>
      </c>
      <c r="D101" s="732">
        <f>D28+D91+D75+D76</f>
        <v>9435.800000000001</v>
      </c>
      <c r="E101" s="732">
        <f t="shared" si="11"/>
        <v>0</v>
      </c>
      <c r="F101" s="742">
        <f>F28+F75+F76+F91</f>
        <v>8869.6</v>
      </c>
      <c r="G101" s="742">
        <f>G28+G75+G76+G91</f>
        <v>8869.6</v>
      </c>
      <c r="H101" s="742">
        <f>H28+H75+H76+H91</f>
        <v>0</v>
      </c>
      <c r="I101" s="742">
        <f>I28+I75+I76+I91</f>
        <v>566.2</v>
      </c>
      <c r="J101" s="732">
        <f t="shared" si="12"/>
        <v>0</v>
      </c>
      <c r="K101" s="85"/>
      <c r="L101" s="740"/>
    </row>
    <row r="102" spans="1:12" ht="23.25" customHeight="1">
      <c r="A102" s="699"/>
      <c r="B102" s="743" t="s">
        <v>399</v>
      </c>
      <c r="C102" s="743"/>
      <c r="D102" s="743"/>
      <c r="E102" s="743"/>
      <c r="F102" s="743"/>
      <c r="G102" s="743"/>
      <c r="H102" s="743"/>
      <c r="I102" s="743"/>
      <c r="J102" s="743"/>
      <c r="K102" s="743"/>
      <c r="L102" s="743"/>
    </row>
    <row r="103" spans="1:12" ht="18.75" customHeight="1">
      <c r="A103" s="699"/>
      <c r="B103" s="744" t="s">
        <v>400</v>
      </c>
      <c r="C103" s="744"/>
      <c r="D103" s="744"/>
      <c r="E103" s="744"/>
      <c r="F103" s="744"/>
      <c r="G103" s="744"/>
      <c r="H103" s="744"/>
      <c r="I103" s="744"/>
      <c r="J103" s="744"/>
      <c r="K103" s="744"/>
      <c r="L103" s="744"/>
    </row>
    <row r="104" spans="1:12" ht="18.75" customHeight="1">
      <c r="A104" s="699"/>
      <c r="B104" s="745" t="s">
        <v>401</v>
      </c>
      <c r="C104" s="745"/>
      <c r="D104" s="745"/>
      <c r="E104" s="745"/>
      <c r="F104" s="745"/>
      <c r="G104" s="745"/>
      <c r="H104" s="745"/>
      <c r="I104" s="745"/>
      <c r="J104" s="745"/>
      <c r="K104" s="745"/>
      <c r="L104" s="746"/>
    </row>
    <row r="105" spans="1:12" ht="18" customHeight="1">
      <c r="A105" s="699" t="s">
        <v>165</v>
      </c>
      <c r="B105" s="71" t="s">
        <v>402</v>
      </c>
      <c r="C105" s="747">
        <v>2017</v>
      </c>
      <c r="D105" s="748">
        <f>E105+E106+E107+F105+F106+F107+I105+I106+I107+J105+J106+J107</f>
        <v>20778.991</v>
      </c>
      <c r="E105" s="722"/>
      <c r="F105" s="722">
        <f aca="true" t="shared" si="13" ref="F105:F125">G105+H105</f>
        <v>0</v>
      </c>
      <c r="G105" s="71"/>
      <c r="H105" s="722"/>
      <c r="I105" s="749">
        <v>662.636</v>
      </c>
      <c r="J105" s="722">
        <v>4584.05</v>
      </c>
      <c r="K105" s="750" t="s">
        <v>403</v>
      </c>
      <c r="L105" s="706" t="s">
        <v>404</v>
      </c>
    </row>
    <row r="106" spans="1:12" ht="18" customHeight="1">
      <c r="A106" s="699"/>
      <c r="B106" s="71"/>
      <c r="C106" s="747"/>
      <c r="D106" s="748"/>
      <c r="E106" s="722"/>
      <c r="F106" s="722">
        <f t="shared" si="13"/>
        <v>0</v>
      </c>
      <c r="G106" s="71"/>
      <c r="H106" s="722"/>
      <c r="I106" s="749">
        <v>1051.935</v>
      </c>
      <c r="J106" s="722">
        <v>9066.95</v>
      </c>
      <c r="K106" s="750" t="s">
        <v>405</v>
      </c>
      <c r="L106" s="706"/>
    </row>
    <row r="107" spans="1:12" ht="18" customHeight="1">
      <c r="A107" s="699"/>
      <c r="B107" s="71"/>
      <c r="C107" s="747"/>
      <c r="D107" s="748"/>
      <c r="E107" s="722"/>
      <c r="F107" s="722">
        <f t="shared" si="13"/>
        <v>0</v>
      </c>
      <c r="G107" s="71"/>
      <c r="H107" s="722"/>
      <c r="I107" s="749">
        <v>623.5</v>
      </c>
      <c r="J107" s="722">
        <v>4789.92</v>
      </c>
      <c r="K107" s="750" t="s">
        <v>406</v>
      </c>
      <c r="L107" s="706"/>
    </row>
    <row r="108" spans="1:12" ht="18" customHeight="1">
      <c r="A108" s="699"/>
      <c r="B108" s="71"/>
      <c r="C108" s="747">
        <v>2018</v>
      </c>
      <c r="D108" s="748">
        <f>E108+E109+E110+F108+F109+F110+I108+I109+I110+J108+J109+J110</f>
        <v>22710.704</v>
      </c>
      <c r="E108" s="722"/>
      <c r="F108" s="722">
        <f t="shared" si="13"/>
        <v>0</v>
      </c>
      <c r="G108" s="71"/>
      <c r="H108" s="71"/>
      <c r="I108" s="749">
        <v>673</v>
      </c>
      <c r="J108" s="722">
        <v>5063.113</v>
      </c>
      <c r="K108" s="750" t="s">
        <v>403</v>
      </c>
      <c r="L108" s="706"/>
    </row>
    <row r="109" spans="1:12" ht="18" customHeight="1">
      <c r="A109" s="699"/>
      <c r="B109" s="71"/>
      <c r="C109" s="747"/>
      <c r="D109" s="748"/>
      <c r="E109" s="722"/>
      <c r="F109" s="722">
        <f t="shared" si="13"/>
        <v>0</v>
      </c>
      <c r="G109" s="71"/>
      <c r="H109" s="71"/>
      <c r="I109" s="749">
        <v>1043</v>
      </c>
      <c r="J109" s="722">
        <v>9931.528</v>
      </c>
      <c r="K109" s="750" t="s">
        <v>405</v>
      </c>
      <c r="L109" s="706"/>
    </row>
    <row r="110" spans="1:12" ht="18" customHeight="1">
      <c r="A110" s="699"/>
      <c r="B110" s="71"/>
      <c r="C110" s="747"/>
      <c r="D110" s="748"/>
      <c r="E110" s="722"/>
      <c r="F110" s="722">
        <f t="shared" si="13"/>
        <v>0</v>
      </c>
      <c r="G110" s="71"/>
      <c r="H110" s="71"/>
      <c r="I110" s="749">
        <f>587-16.475</f>
        <v>570.525</v>
      </c>
      <c r="J110" s="722">
        <v>5429.538</v>
      </c>
      <c r="K110" s="750" t="s">
        <v>406</v>
      </c>
      <c r="L110" s="706"/>
    </row>
    <row r="111" spans="1:12" ht="18" customHeight="1">
      <c r="A111" s="699"/>
      <c r="B111" s="71"/>
      <c r="C111" s="747">
        <v>2019</v>
      </c>
      <c r="D111" s="748">
        <f>E111+E112+E113+F111+F112+F113+I111+I112+I113+J111+J112+J113</f>
        <v>23935.088</v>
      </c>
      <c r="E111" s="722"/>
      <c r="F111" s="722">
        <f t="shared" si="13"/>
        <v>0</v>
      </c>
      <c r="G111" s="71"/>
      <c r="H111" s="71"/>
      <c r="I111" s="749">
        <v>804.96</v>
      </c>
      <c r="J111" s="722">
        <v>4896.64</v>
      </c>
      <c r="K111" s="750" t="s">
        <v>403</v>
      </c>
      <c r="L111" s="706"/>
    </row>
    <row r="112" spans="1:12" ht="18" customHeight="1">
      <c r="A112" s="699"/>
      <c r="B112" s="71"/>
      <c r="C112" s="747"/>
      <c r="D112" s="748"/>
      <c r="E112" s="722"/>
      <c r="F112" s="722">
        <f t="shared" si="13"/>
        <v>0</v>
      </c>
      <c r="G112" s="71"/>
      <c r="H112" s="71"/>
      <c r="I112" s="749">
        <f>1542.84+6.49-40</f>
        <v>1509.33</v>
      </c>
      <c r="J112" s="722">
        <v>9726.675</v>
      </c>
      <c r="K112" s="750" t="s">
        <v>405</v>
      </c>
      <c r="L112" s="706"/>
    </row>
    <row r="113" spans="1:12" ht="18" customHeight="1">
      <c r="A113" s="699"/>
      <c r="B113" s="71"/>
      <c r="C113" s="747"/>
      <c r="D113" s="748"/>
      <c r="E113" s="722"/>
      <c r="F113" s="722">
        <f t="shared" si="13"/>
        <v>0</v>
      </c>
      <c r="G113" s="71"/>
      <c r="H113" s="71"/>
      <c r="I113" s="749">
        <v>995.02</v>
      </c>
      <c r="J113" s="722">
        <v>6002.463</v>
      </c>
      <c r="K113" s="750" t="s">
        <v>406</v>
      </c>
      <c r="L113" s="706"/>
    </row>
    <row r="114" spans="1:12" ht="18" customHeight="1">
      <c r="A114" s="699"/>
      <c r="B114" s="71"/>
      <c r="C114" s="747">
        <v>2020</v>
      </c>
      <c r="D114" s="748">
        <f>E114+E115+E116+F114+F115+F116+I114+I115+I116+J114+J115+J116</f>
        <v>25204.21</v>
      </c>
      <c r="E114" s="722"/>
      <c r="F114" s="722">
        <f t="shared" si="13"/>
        <v>0</v>
      </c>
      <c r="G114" s="71"/>
      <c r="H114" s="71"/>
      <c r="I114" s="749">
        <f>804.96-200+50</f>
        <v>654.96</v>
      </c>
      <c r="J114" s="722">
        <v>5496.4</v>
      </c>
      <c r="K114" s="750" t="s">
        <v>403</v>
      </c>
      <c r="L114" s="706"/>
    </row>
    <row r="115" spans="1:12" ht="18" customHeight="1">
      <c r="A115" s="699"/>
      <c r="B115" s="71"/>
      <c r="C115" s="747"/>
      <c r="D115" s="748"/>
      <c r="E115" s="722"/>
      <c r="F115" s="722">
        <f t="shared" si="13"/>
        <v>0</v>
      </c>
      <c r="G115" s="71"/>
      <c r="H115" s="71"/>
      <c r="I115" s="749">
        <f>1542.84+6.49-300-50</f>
        <v>1199.33</v>
      </c>
      <c r="J115" s="722">
        <v>10512.9</v>
      </c>
      <c r="K115" s="750" t="s">
        <v>405</v>
      </c>
      <c r="L115" s="706"/>
    </row>
    <row r="116" spans="1:12" ht="18" customHeight="1">
      <c r="A116" s="699"/>
      <c r="B116" s="71"/>
      <c r="C116" s="747"/>
      <c r="D116" s="748"/>
      <c r="E116" s="722"/>
      <c r="F116" s="722">
        <f t="shared" si="13"/>
        <v>0</v>
      </c>
      <c r="G116" s="71"/>
      <c r="H116" s="71"/>
      <c r="I116" s="749">
        <f>995.02-200</f>
        <v>795.02</v>
      </c>
      <c r="J116" s="722">
        <v>6545.6</v>
      </c>
      <c r="K116" s="750" t="s">
        <v>406</v>
      </c>
      <c r="L116" s="706"/>
    </row>
    <row r="117" spans="1:12" ht="18" customHeight="1">
      <c r="A117" s="699"/>
      <c r="B117" s="71"/>
      <c r="C117" s="747">
        <v>2021</v>
      </c>
      <c r="D117" s="748">
        <f>E117+E118+E119+F117+F118+F119+I117+I118+I119+J117+J118+J119</f>
        <v>24256.04706</v>
      </c>
      <c r="E117" s="722"/>
      <c r="F117" s="722">
        <f t="shared" si="13"/>
        <v>0</v>
      </c>
      <c r="G117" s="71"/>
      <c r="H117" s="71"/>
      <c r="I117" s="749">
        <v>1156.941</v>
      </c>
      <c r="J117" s="722">
        <v>4896.64</v>
      </c>
      <c r="K117" s="750" t="s">
        <v>403</v>
      </c>
      <c r="L117" s="706"/>
    </row>
    <row r="118" spans="1:12" ht="18" customHeight="1">
      <c r="A118" s="699"/>
      <c r="B118" s="71"/>
      <c r="C118" s="747"/>
      <c r="D118" s="748"/>
      <c r="E118" s="722"/>
      <c r="F118" s="722">
        <f t="shared" si="13"/>
        <v>0</v>
      </c>
      <c r="G118" s="71"/>
      <c r="H118" s="71"/>
      <c r="I118" s="748">
        <v>1550.37506</v>
      </c>
      <c r="J118" s="722">
        <v>9726.675</v>
      </c>
      <c r="K118" s="750" t="s">
        <v>405</v>
      </c>
      <c r="L118" s="706"/>
    </row>
    <row r="119" spans="1:12" ht="18" customHeight="1">
      <c r="A119" s="699"/>
      <c r="B119" s="71"/>
      <c r="C119" s="747"/>
      <c r="D119" s="748"/>
      <c r="E119" s="722"/>
      <c r="F119" s="722">
        <f t="shared" si="13"/>
        <v>0</v>
      </c>
      <c r="G119" s="71"/>
      <c r="H119" s="71"/>
      <c r="I119" s="749">
        <v>922.953</v>
      </c>
      <c r="J119" s="722">
        <v>6002.463</v>
      </c>
      <c r="K119" s="750" t="s">
        <v>406</v>
      </c>
      <c r="L119" s="706"/>
    </row>
    <row r="120" spans="1:12" ht="18" customHeight="1">
      <c r="A120" s="699"/>
      <c r="B120" s="71"/>
      <c r="C120" s="747">
        <v>2022</v>
      </c>
      <c r="D120" s="748">
        <f>E120+E121+E122+F120+F121+F122+I120+I121+I122+J120+J121+J122</f>
        <v>22502.064</v>
      </c>
      <c r="E120" s="722"/>
      <c r="F120" s="722">
        <f t="shared" si="13"/>
        <v>0</v>
      </c>
      <c r="G120" s="71"/>
      <c r="H120" s="71"/>
      <c r="I120" s="749">
        <v>573</v>
      </c>
      <c r="J120" s="722">
        <v>5000</v>
      </c>
      <c r="K120" s="750" t="s">
        <v>403</v>
      </c>
      <c r="L120" s="706"/>
    </row>
    <row r="121" spans="1:12" ht="18" customHeight="1">
      <c r="A121" s="699"/>
      <c r="B121" s="71"/>
      <c r="C121" s="747"/>
      <c r="D121" s="748"/>
      <c r="E121" s="722"/>
      <c r="F121" s="722">
        <f t="shared" si="13"/>
        <v>0</v>
      </c>
      <c r="G121" s="71"/>
      <c r="H121" s="71"/>
      <c r="I121" s="749">
        <v>1178.064</v>
      </c>
      <c r="J121" s="722">
        <v>9000</v>
      </c>
      <c r="K121" s="750" t="s">
        <v>405</v>
      </c>
      <c r="L121" s="706"/>
    </row>
    <row r="122" spans="1:12" ht="18" customHeight="1">
      <c r="A122" s="699"/>
      <c r="B122" s="71"/>
      <c r="C122" s="747"/>
      <c r="D122" s="748"/>
      <c r="E122" s="722"/>
      <c r="F122" s="722">
        <f t="shared" si="13"/>
        <v>0</v>
      </c>
      <c r="G122" s="71"/>
      <c r="H122" s="71"/>
      <c r="I122" s="749">
        <v>751</v>
      </c>
      <c r="J122" s="722">
        <v>6000</v>
      </c>
      <c r="K122" s="750" t="s">
        <v>406</v>
      </c>
      <c r="L122" s="706"/>
    </row>
    <row r="123" spans="1:12" ht="18" customHeight="1">
      <c r="A123" s="699"/>
      <c r="B123" s="71"/>
      <c r="C123" s="747">
        <v>2023</v>
      </c>
      <c r="D123" s="748">
        <f>E123+E124+E125+F123+F124+F125+I123+I124+I125+J123+J124+J125</f>
        <v>20000</v>
      </c>
      <c r="E123" s="722"/>
      <c r="F123" s="722">
        <f t="shared" si="13"/>
        <v>0</v>
      </c>
      <c r="G123" s="71"/>
      <c r="H123" s="71"/>
      <c r="I123" s="749">
        <v>0</v>
      </c>
      <c r="J123" s="722">
        <v>5000</v>
      </c>
      <c r="K123" s="750" t="s">
        <v>403</v>
      </c>
      <c r="L123" s="706"/>
    </row>
    <row r="124" spans="1:12" ht="18" customHeight="1">
      <c r="A124" s="699"/>
      <c r="B124" s="71"/>
      <c r="C124" s="747"/>
      <c r="D124" s="748"/>
      <c r="E124" s="722"/>
      <c r="F124" s="722">
        <f t="shared" si="13"/>
        <v>0</v>
      </c>
      <c r="G124" s="71"/>
      <c r="H124" s="71"/>
      <c r="I124" s="749">
        <v>0</v>
      </c>
      <c r="J124" s="722">
        <v>9000</v>
      </c>
      <c r="K124" s="750" t="s">
        <v>405</v>
      </c>
      <c r="L124" s="706"/>
    </row>
    <row r="125" spans="1:12" ht="18" customHeight="1">
      <c r="A125" s="699"/>
      <c r="B125" s="71"/>
      <c r="C125" s="747"/>
      <c r="D125" s="748"/>
      <c r="E125" s="722"/>
      <c r="F125" s="722">
        <f t="shared" si="13"/>
        <v>0</v>
      </c>
      <c r="G125" s="71"/>
      <c r="H125" s="71"/>
      <c r="I125" s="749">
        <v>0</v>
      </c>
      <c r="J125" s="722">
        <v>6000</v>
      </c>
      <c r="K125" s="750" t="s">
        <v>406</v>
      </c>
      <c r="L125" s="706"/>
    </row>
    <row r="126" spans="1:12" ht="18" customHeight="1">
      <c r="A126" s="699"/>
      <c r="B126" s="71"/>
      <c r="C126" s="747">
        <v>2024</v>
      </c>
      <c r="D126" s="748">
        <f>E126+E127+E128+F126+F127+F128+I126+I127+I128+J126+J127+J128</f>
        <v>20000</v>
      </c>
      <c r="E126" s="722"/>
      <c r="F126" s="722">
        <v>0</v>
      </c>
      <c r="G126" s="71"/>
      <c r="H126" s="71"/>
      <c r="I126" s="749">
        <v>0</v>
      </c>
      <c r="J126" s="722">
        <v>5000</v>
      </c>
      <c r="K126" s="750" t="s">
        <v>403</v>
      </c>
      <c r="L126" s="706"/>
    </row>
    <row r="127" spans="1:12" ht="18" customHeight="1">
      <c r="A127" s="699"/>
      <c r="B127" s="71"/>
      <c r="C127" s="747"/>
      <c r="D127" s="748"/>
      <c r="E127" s="722"/>
      <c r="F127" s="722">
        <v>0</v>
      </c>
      <c r="G127" s="71"/>
      <c r="H127" s="71"/>
      <c r="I127" s="749">
        <v>0</v>
      </c>
      <c r="J127" s="722">
        <v>9000</v>
      </c>
      <c r="K127" s="750" t="s">
        <v>405</v>
      </c>
      <c r="L127" s="706"/>
    </row>
    <row r="128" spans="1:12" ht="18" customHeight="1">
      <c r="A128" s="699"/>
      <c r="B128" s="71"/>
      <c r="C128" s="747"/>
      <c r="D128" s="748"/>
      <c r="E128" s="722"/>
      <c r="F128" s="722">
        <v>0</v>
      </c>
      <c r="G128" s="71"/>
      <c r="H128" s="71"/>
      <c r="I128" s="749">
        <v>0</v>
      </c>
      <c r="J128" s="722">
        <v>6000</v>
      </c>
      <c r="K128" s="750" t="s">
        <v>406</v>
      </c>
      <c r="L128" s="706"/>
    </row>
    <row r="129" spans="1:12" ht="18" customHeight="1">
      <c r="A129" s="699" t="s">
        <v>237</v>
      </c>
      <c r="B129" s="71" t="s">
        <v>393</v>
      </c>
      <c r="C129" s="747">
        <v>2017</v>
      </c>
      <c r="D129" s="749">
        <f>E129+E130+E131+F129+F130+F131+I129+I130+I131+J129+J130+J131</f>
        <v>157.393</v>
      </c>
      <c r="E129" s="722"/>
      <c r="F129" s="722">
        <f aca="true" t="shared" si="14" ref="F129:F163">G129+H129</f>
        <v>0</v>
      </c>
      <c r="G129" s="71"/>
      <c r="H129" s="748"/>
      <c r="I129" s="748">
        <v>57.782</v>
      </c>
      <c r="J129" s="722">
        <v>0</v>
      </c>
      <c r="K129" s="750" t="s">
        <v>403</v>
      </c>
      <c r="L129" s="706" t="s">
        <v>407</v>
      </c>
    </row>
    <row r="130" spans="1:12" ht="18" customHeight="1">
      <c r="A130" s="699"/>
      <c r="B130" s="71"/>
      <c r="C130" s="747"/>
      <c r="D130" s="749"/>
      <c r="E130" s="722"/>
      <c r="F130" s="722">
        <f t="shared" si="14"/>
        <v>0</v>
      </c>
      <c r="G130" s="71"/>
      <c r="H130" s="748"/>
      <c r="I130" s="748">
        <v>45.641</v>
      </c>
      <c r="J130" s="722">
        <v>0</v>
      </c>
      <c r="K130" s="750" t="s">
        <v>405</v>
      </c>
      <c r="L130" s="706"/>
    </row>
    <row r="131" spans="1:12" ht="18" customHeight="1">
      <c r="A131" s="699"/>
      <c r="B131" s="71"/>
      <c r="C131" s="747"/>
      <c r="D131" s="749"/>
      <c r="E131" s="722"/>
      <c r="F131" s="722">
        <f t="shared" si="14"/>
        <v>0</v>
      </c>
      <c r="G131" s="71"/>
      <c r="H131" s="748"/>
      <c r="I131" s="748">
        <v>53.97</v>
      </c>
      <c r="J131" s="722">
        <v>0</v>
      </c>
      <c r="K131" s="750" t="s">
        <v>406</v>
      </c>
      <c r="L131" s="706"/>
    </row>
    <row r="132" spans="1:12" ht="18" customHeight="1">
      <c r="A132" s="699"/>
      <c r="B132" s="71"/>
      <c r="C132" s="747">
        <v>2018</v>
      </c>
      <c r="D132" s="749">
        <f>E132+E133+E134+F132+F133+F134+I132+I133+I134+J132+J133+J134</f>
        <v>162</v>
      </c>
      <c r="E132" s="722"/>
      <c r="F132" s="722">
        <f t="shared" si="14"/>
        <v>0</v>
      </c>
      <c r="G132" s="71"/>
      <c r="H132" s="748"/>
      <c r="I132" s="748">
        <v>54</v>
      </c>
      <c r="J132" s="722">
        <v>0</v>
      </c>
      <c r="K132" s="750" t="s">
        <v>403</v>
      </c>
      <c r="L132" s="706"/>
    </row>
    <row r="133" spans="1:12" ht="18" customHeight="1">
      <c r="A133" s="699"/>
      <c r="B133" s="71"/>
      <c r="C133" s="747"/>
      <c r="D133" s="749"/>
      <c r="E133" s="722"/>
      <c r="F133" s="722">
        <f t="shared" si="14"/>
        <v>0</v>
      </c>
      <c r="G133" s="71"/>
      <c r="H133" s="748"/>
      <c r="I133" s="748">
        <v>54</v>
      </c>
      <c r="J133" s="722">
        <v>0</v>
      </c>
      <c r="K133" s="750" t="s">
        <v>405</v>
      </c>
      <c r="L133" s="706"/>
    </row>
    <row r="134" spans="1:12" ht="18" customHeight="1">
      <c r="A134" s="699"/>
      <c r="B134" s="71"/>
      <c r="C134" s="747"/>
      <c r="D134" s="749"/>
      <c r="E134" s="722"/>
      <c r="F134" s="722">
        <f t="shared" si="14"/>
        <v>0</v>
      </c>
      <c r="G134" s="71"/>
      <c r="H134" s="748"/>
      <c r="I134" s="748">
        <v>54</v>
      </c>
      <c r="J134" s="722">
        <v>0</v>
      </c>
      <c r="K134" s="750" t="s">
        <v>406</v>
      </c>
      <c r="L134" s="706"/>
    </row>
    <row r="135" spans="1:12" ht="18" customHeight="1">
      <c r="A135" s="699"/>
      <c r="B135" s="71"/>
      <c r="C135" s="747">
        <v>2019</v>
      </c>
      <c r="D135" s="749">
        <f>E135+E136+E137+F135+F136+F137+I135+I136+I137+J135+J136+J137</f>
        <v>162</v>
      </c>
      <c r="E135" s="722"/>
      <c r="F135" s="722">
        <f t="shared" si="14"/>
        <v>0</v>
      </c>
      <c r="G135" s="71"/>
      <c r="H135" s="748"/>
      <c r="I135" s="748">
        <v>54</v>
      </c>
      <c r="J135" s="722">
        <v>0</v>
      </c>
      <c r="K135" s="750" t="s">
        <v>403</v>
      </c>
      <c r="L135" s="706"/>
    </row>
    <row r="136" spans="1:12" ht="18" customHeight="1">
      <c r="A136" s="699"/>
      <c r="B136" s="71"/>
      <c r="C136" s="747"/>
      <c r="D136" s="749"/>
      <c r="E136" s="722"/>
      <c r="F136" s="722">
        <f t="shared" si="14"/>
        <v>0</v>
      </c>
      <c r="G136" s="71"/>
      <c r="H136" s="748"/>
      <c r="I136" s="748">
        <v>54</v>
      </c>
      <c r="J136" s="722">
        <v>0</v>
      </c>
      <c r="K136" s="750" t="s">
        <v>405</v>
      </c>
      <c r="L136" s="706"/>
    </row>
    <row r="137" spans="1:12" ht="18" customHeight="1">
      <c r="A137" s="699"/>
      <c r="B137" s="71"/>
      <c r="C137" s="747"/>
      <c r="D137" s="749"/>
      <c r="E137" s="722"/>
      <c r="F137" s="722">
        <f t="shared" si="14"/>
        <v>0</v>
      </c>
      <c r="G137" s="71"/>
      <c r="H137" s="748"/>
      <c r="I137" s="748">
        <v>54</v>
      </c>
      <c r="J137" s="722">
        <v>0</v>
      </c>
      <c r="K137" s="750" t="s">
        <v>406</v>
      </c>
      <c r="L137" s="706"/>
    </row>
    <row r="138" spans="1:12" ht="18" customHeight="1">
      <c r="A138" s="699"/>
      <c r="B138" s="71"/>
      <c r="C138" s="747">
        <v>2020</v>
      </c>
      <c r="D138" s="749">
        <f>E138+E139+E140+F138+F139+F140+I138+I139+I140+J138+J139+J140</f>
        <v>162</v>
      </c>
      <c r="E138" s="722"/>
      <c r="F138" s="722">
        <f t="shared" si="14"/>
        <v>0</v>
      </c>
      <c r="G138" s="71"/>
      <c r="H138" s="748"/>
      <c r="I138" s="748">
        <v>54</v>
      </c>
      <c r="J138" s="722">
        <v>0</v>
      </c>
      <c r="K138" s="750" t="s">
        <v>403</v>
      </c>
      <c r="L138" s="706"/>
    </row>
    <row r="139" spans="1:12" ht="18" customHeight="1">
      <c r="A139" s="699"/>
      <c r="B139" s="71"/>
      <c r="C139" s="747"/>
      <c r="D139" s="749"/>
      <c r="E139" s="722"/>
      <c r="F139" s="722">
        <f t="shared" si="14"/>
        <v>0</v>
      </c>
      <c r="G139" s="71"/>
      <c r="H139" s="748"/>
      <c r="I139" s="748">
        <v>54</v>
      </c>
      <c r="J139" s="722">
        <v>0</v>
      </c>
      <c r="K139" s="750" t="s">
        <v>405</v>
      </c>
      <c r="L139" s="706"/>
    </row>
    <row r="140" spans="1:12" ht="18" customHeight="1">
      <c r="A140" s="699"/>
      <c r="B140" s="71"/>
      <c r="C140" s="747"/>
      <c r="D140" s="749"/>
      <c r="E140" s="722"/>
      <c r="F140" s="722">
        <f t="shared" si="14"/>
        <v>0</v>
      </c>
      <c r="G140" s="71"/>
      <c r="H140" s="748"/>
      <c r="I140" s="748">
        <v>54</v>
      </c>
      <c r="J140" s="722">
        <v>0</v>
      </c>
      <c r="K140" s="750" t="s">
        <v>406</v>
      </c>
      <c r="L140" s="706"/>
    </row>
    <row r="141" spans="1:12" ht="18" customHeight="1">
      <c r="A141" s="699"/>
      <c r="B141" s="71"/>
      <c r="C141" s="747">
        <v>2021</v>
      </c>
      <c r="D141" s="749">
        <f>E141+E142+E143+F141+F142+F143+I141+I142+I143+J141+J142+J143</f>
        <v>162</v>
      </c>
      <c r="E141" s="722"/>
      <c r="F141" s="722">
        <f t="shared" si="14"/>
        <v>0</v>
      </c>
      <c r="G141" s="71"/>
      <c r="H141" s="748"/>
      <c r="I141" s="748">
        <v>54</v>
      </c>
      <c r="J141" s="722">
        <v>0</v>
      </c>
      <c r="K141" s="750" t="s">
        <v>403</v>
      </c>
      <c r="L141" s="706"/>
    </row>
    <row r="142" spans="1:12" ht="18" customHeight="1">
      <c r="A142" s="699"/>
      <c r="B142" s="71"/>
      <c r="C142" s="747"/>
      <c r="D142" s="749"/>
      <c r="E142" s="722"/>
      <c r="F142" s="722">
        <f t="shared" si="14"/>
        <v>0</v>
      </c>
      <c r="G142" s="71"/>
      <c r="H142" s="748"/>
      <c r="I142" s="748">
        <v>54</v>
      </c>
      <c r="J142" s="722">
        <v>0</v>
      </c>
      <c r="K142" s="750" t="s">
        <v>405</v>
      </c>
      <c r="L142" s="706"/>
    </row>
    <row r="143" spans="1:12" ht="18" customHeight="1">
      <c r="A143" s="699"/>
      <c r="B143" s="71"/>
      <c r="C143" s="747"/>
      <c r="D143" s="749"/>
      <c r="E143" s="722"/>
      <c r="F143" s="722">
        <f t="shared" si="14"/>
        <v>0</v>
      </c>
      <c r="G143" s="71"/>
      <c r="H143" s="748"/>
      <c r="I143" s="748">
        <v>54</v>
      </c>
      <c r="J143" s="722">
        <v>0</v>
      </c>
      <c r="K143" s="750" t="s">
        <v>406</v>
      </c>
      <c r="L143" s="706"/>
    </row>
    <row r="144" spans="1:12" ht="18" customHeight="1">
      <c r="A144" s="699"/>
      <c r="B144" s="71"/>
      <c r="C144" s="747">
        <v>2022</v>
      </c>
      <c r="D144" s="749">
        <f>E144+E145+E146+F144+F145+F146+I144+I145+I146+J144+J145+J146</f>
        <v>162</v>
      </c>
      <c r="E144" s="722"/>
      <c r="F144" s="722">
        <f t="shared" si="14"/>
        <v>0</v>
      </c>
      <c r="G144" s="71"/>
      <c r="H144" s="748"/>
      <c r="I144" s="748">
        <v>54</v>
      </c>
      <c r="J144" s="722">
        <v>0</v>
      </c>
      <c r="K144" s="750" t="s">
        <v>403</v>
      </c>
      <c r="L144" s="706"/>
    </row>
    <row r="145" spans="1:12" ht="18" customHeight="1">
      <c r="A145" s="699"/>
      <c r="B145" s="71"/>
      <c r="C145" s="747"/>
      <c r="D145" s="749"/>
      <c r="E145" s="722"/>
      <c r="F145" s="722">
        <f t="shared" si="14"/>
        <v>0</v>
      </c>
      <c r="G145" s="71"/>
      <c r="H145" s="748"/>
      <c r="I145" s="748">
        <v>54</v>
      </c>
      <c r="J145" s="722">
        <v>0</v>
      </c>
      <c r="K145" s="750" t="s">
        <v>405</v>
      </c>
      <c r="L145" s="706"/>
    </row>
    <row r="146" spans="1:12" ht="18" customHeight="1">
      <c r="A146" s="699"/>
      <c r="B146" s="71"/>
      <c r="C146" s="747"/>
      <c r="D146" s="749"/>
      <c r="E146" s="722"/>
      <c r="F146" s="722">
        <f t="shared" si="14"/>
        <v>0</v>
      </c>
      <c r="G146" s="71"/>
      <c r="H146" s="748"/>
      <c r="I146" s="748">
        <v>54</v>
      </c>
      <c r="J146" s="722">
        <v>0</v>
      </c>
      <c r="K146" s="750" t="s">
        <v>406</v>
      </c>
      <c r="L146" s="706"/>
    </row>
    <row r="147" spans="1:12" ht="18" customHeight="1">
      <c r="A147" s="699"/>
      <c r="B147" s="71"/>
      <c r="C147" s="747">
        <v>2023</v>
      </c>
      <c r="D147" s="749">
        <f>E147+E148+E149+F147+F148+F149+I147+I148+I149+J147+J148+J149</f>
        <v>0</v>
      </c>
      <c r="E147" s="722"/>
      <c r="F147" s="722">
        <f t="shared" si="14"/>
        <v>0</v>
      </c>
      <c r="G147" s="71"/>
      <c r="H147" s="748"/>
      <c r="I147" s="748">
        <v>0</v>
      </c>
      <c r="J147" s="722">
        <v>0</v>
      </c>
      <c r="K147" s="750" t="s">
        <v>403</v>
      </c>
      <c r="L147" s="706"/>
    </row>
    <row r="148" spans="1:12" ht="18" customHeight="1">
      <c r="A148" s="699"/>
      <c r="B148" s="71"/>
      <c r="C148" s="747"/>
      <c r="D148" s="749"/>
      <c r="E148" s="722"/>
      <c r="F148" s="722">
        <f t="shared" si="14"/>
        <v>0</v>
      </c>
      <c r="G148" s="71"/>
      <c r="H148" s="748"/>
      <c r="I148" s="748">
        <v>0</v>
      </c>
      <c r="J148" s="722">
        <v>0</v>
      </c>
      <c r="K148" s="750" t="s">
        <v>405</v>
      </c>
      <c r="L148" s="706"/>
    </row>
    <row r="149" spans="1:12" ht="18" customHeight="1">
      <c r="A149" s="699"/>
      <c r="B149" s="71"/>
      <c r="C149" s="747"/>
      <c r="D149" s="749"/>
      <c r="E149" s="722"/>
      <c r="F149" s="722">
        <f t="shared" si="14"/>
        <v>0</v>
      </c>
      <c r="G149" s="71"/>
      <c r="H149" s="748"/>
      <c r="I149" s="748">
        <v>0</v>
      </c>
      <c r="J149" s="722">
        <v>0</v>
      </c>
      <c r="K149" s="750" t="s">
        <v>406</v>
      </c>
      <c r="L149" s="706"/>
    </row>
    <row r="150" spans="1:12" ht="18" customHeight="1">
      <c r="A150" s="699"/>
      <c r="B150" s="71"/>
      <c r="C150" s="747">
        <v>2024</v>
      </c>
      <c r="D150" s="749">
        <f>E150+E151+E152+F150+F151+F152+I150+I151+I152+J150+J151+J152</f>
        <v>0</v>
      </c>
      <c r="E150" s="722"/>
      <c r="F150" s="722">
        <f t="shared" si="14"/>
        <v>0</v>
      </c>
      <c r="G150" s="71"/>
      <c r="H150" s="748"/>
      <c r="I150" s="748">
        <v>0</v>
      </c>
      <c r="J150" s="722">
        <v>0</v>
      </c>
      <c r="K150" s="750" t="s">
        <v>403</v>
      </c>
      <c r="L150" s="706"/>
    </row>
    <row r="151" spans="1:12" ht="18" customHeight="1">
      <c r="A151" s="699"/>
      <c r="B151" s="71"/>
      <c r="C151" s="747"/>
      <c r="D151" s="749"/>
      <c r="E151" s="722"/>
      <c r="F151" s="722">
        <f t="shared" si="14"/>
        <v>0</v>
      </c>
      <c r="G151" s="71"/>
      <c r="H151" s="748"/>
      <c r="I151" s="748">
        <v>0</v>
      </c>
      <c r="J151" s="722">
        <v>0</v>
      </c>
      <c r="K151" s="750" t="s">
        <v>405</v>
      </c>
      <c r="L151" s="706"/>
    </row>
    <row r="152" spans="1:12" ht="18" customHeight="1">
      <c r="A152" s="699"/>
      <c r="B152" s="71"/>
      <c r="C152" s="747"/>
      <c r="D152" s="749"/>
      <c r="E152" s="722"/>
      <c r="F152" s="722">
        <f t="shared" si="14"/>
        <v>0</v>
      </c>
      <c r="G152" s="71"/>
      <c r="H152" s="748"/>
      <c r="I152" s="748">
        <v>0</v>
      </c>
      <c r="J152" s="722">
        <v>0</v>
      </c>
      <c r="K152" s="750" t="s">
        <v>406</v>
      </c>
      <c r="L152" s="706"/>
    </row>
    <row r="153" spans="1:12" ht="19.5" customHeight="1">
      <c r="A153" s="699" t="s">
        <v>250</v>
      </c>
      <c r="B153" s="71" t="s">
        <v>408</v>
      </c>
      <c r="C153" s="747">
        <v>2017</v>
      </c>
      <c r="D153" s="722">
        <f aca="true" t="shared" si="15" ref="D153:D160">E153+F153+I153+J153</f>
        <v>180.31</v>
      </c>
      <c r="E153" s="751"/>
      <c r="F153" s="722">
        <f t="shared" si="14"/>
        <v>0</v>
      </c>
      <c r="G153" s="626"/>
      <c r="H153" s="722"/>
      <c r="I153" s="722">
        <v>180.31</v>
      </c>
      <c r="J153" s="722">
        <v>0</v>
      </c>
      <c r="K153" s="464" t="s">
        <v>409</v>
      </c>
      <c r="L153" s="706" t="s">
        <v>410</v>
      </c>
    </row>
    <row r="154" spans="1:12" ht="19.5" customHeight="1">
      <c r="A154" s="699"/>
      <c r="B154" s="71"/>
      <c r="C154" s="747">
        <v>2018</v>
      </c>
      <c r="D154" s="722">
        <f t="shared" si="15"/>
        <v>220</v>
      </c>
      <c r="E154" s="751"/>
      <c r="F154" s="722">
        <f t="shared" si="14"/>
        <v>0</v>
      </c>
      <c r="G154" s="626"/>
      <c r="H154" s="722"/>
      <c r="I154" s="722">
        <v>220</v>
      </c>
      <c r="J154" s="722">
        <v>0</v>
      </c>
      <c r="K154" s="464"/>
      <c r="L154" s="706"/>
    </row>
    <row r="155" spans="1:12" ht="19.5" customHeight="1">
      <c r="A155" s="699"/>
      <c r="B155" s="71"/>
      <c r="C155" s="747">
        <v>2019</v>
      </c>
      <c r="D155" s="722">
        <f t="shared" si="15"/>
        <v>220</v>
      </c>
      <c r="E155" s="751"/>
      <c r="F155" s="722">
        <f t="shared" si="14"/>
        <v>0</v>
      </c>
      <c r="G155" s="626"/>
      <c r="H155" s="722"/>
      <c r="I155" s="722">
        <v>220</v>
      </c>
      <c r="J155" s="722">
        <v>0</v>
      </c>
      <c r="K155" s="464"/>
      <c r="L155" s="706"/>
    </row>
    <row r="156" spans="1:12" ht="19.5" customHeight="1">
      <c r="A156" s="699"/>
      <c r="B156" s="71"/>
      <c r="C156" s="747">
        <v>2020</v>
      </c>
      <c r="D156" s="722">
        <f t="shared" si="15"/>
        <v>220</v>
      </c>
      <c r="E156" s="751"/>
      <c r="F156" s="722">
        <f t="shared" si="14"/>
        <v>0</v>
      </c>
      <c r="G156" s="626"/>
      <c r="H156" s="722"/>
      <c r="I156" s="722">
        <v>220</v>
      </c>
      <c r="J156" s="722">
        <v>0</v>
      </c>
      <c r="K156" s="464"/>
      <c r="L156" s="706"/>
    </row>
    <row r="157" spans="1:12" ht="27" customHeight="1">
      <c r="A157" s="699"/>
      <c r="B157" s="71"/>
      <c r="C157" s="747">
        <v>2021</v>
      </c>
      <c r="D157" s="722">
        <f t="shared" si="15"/>
        <v>220</v>
      </c>
      <c r="E157" s="751"/>
      <c r="F157" s="722">
        <f t="shared" si="14"/>
        <v>0</v>
      </c>
      <c r="G157" s="626"/>
      <c r="H157" s="722"/>
      <c r="I157" s="722">
        <v>220</v>
      </c>
      <c r="J157" s="722">
        <v>0</v>
      </c>
      <c r="K157" s="464"/>
      <c r="L157" s="706"/>
    </row>
    <row r="158" spans="1:12" ht="30" customHeight="1">
      <c r="A158" s="699"/>
      <c r="B158" s="71"/>
      <c r="C158" s="747">
        <v>2022</v>
      </c>
      <c r="D158" s="722">
        <f t="shared" si="15"/>
        <v>299</v>
      </c>
      <c r="E158" s="751"/>
      <c r="F158" s="722">
        <f t="shared" si="14"/>
        <v>0</v>
      </c>
      <c r="G158" s="626"/>
      <c r="H158" s="722"/>
      <c r="I158" s="722">
        <v>299</v>
      </c>
      <c r="J158" s="722">
        <v>0</v>
      </c>
      <c r="K158" s="752" t="s">
        <v>411</v>
      </c>
      <c r="L158" s="706"/>
    </row>
    <row r="159" spans="1:12" ht="27" customHeight="1">
      <c r="A159" s="699"/>
      <c r="B159" s="71"/>
      <c r="C159" s="747">
        <v>2023</v>
      </c>
      <c r="D159" s="722">
        <f t="shared" si="15"/>
        <v>0</v>
      </c>
      <c r="E159" s="751"/>
      <c r="F159" s="722">
        <f t="shared" si="14"/>
        <v>0</v>
      </c>
      <c r="G159" s="626"/>
      <c r="H159" s="722"/>
      <c r="I159" s="722">
        <v>0</v>
      </c>
      <c r="J159" s="722">
        <v>0</v>
      </c>
      <c r="K159" s="752"/>
      <c r="L159" s="706"/>
    </row>
    <row r="160" spans="1:12" ht="33.75" customHeight="1">
      <c r="A160" s="699"/>
      <c r="B160" s="71"/>
      <c r="C160" s="747">
        <v>2024</v>
      </c>
      <c r="D160" s="722">
        <f t="shared" si="15"/>
        <v>0</v>
      </c>
      <c r="E160" s="751"/>
      <c r="F160" s="722">
        <f t="shared" si="14"/>
        <v>0</v>
      </c>
      <c r="G160" s="626"/>
      <c r="H160" s="722"/>
      <c r="I160" s="722">
        <v>0</v>
      </c>
      <c r="J160" s="722">
        <v>0</v>
      </c>
      <c r="K160" s="752"/>
      <c r="L160" s="706"/>
    </row>
    <row r="161" spans="1:12" s="758" customFormat="1" ht="19.5" customHeight="1">
      <c r="A161" s="753"/>
      <c r="B161" s="754" t="s">
        <v>299</v>
      </c>
      <c r="C161" s="755">
        <v>2017</v>
      </c>
      <c r="D161" s="756">
        <f>D105+D106+D107+D129+D130+D131+D153</f>
        <v>21116.694000000003</v>
      </c>
      <c r="E161" s="757">
        <f>E105+E106+E107+E129+E130+E131+E153</f>
        <v>0</v>
      </c>
      <c r="F161" s="757">
        <f t="shared" si="14"/>
        <v>0</v>
      </c>
      <c r="G161" s="757">
        <f>G105+G106+G107+G129+G130+G131+G153</f>
        <v>0</v>
      </c>
      <c r="H161" s="757">
        <f>H105+H106+H107+H129+H130+H131+H153</f>
        <v>0</v>
      </c>
      <c r="I161" s="756">
        <f>I105+I106+I107+I129+I130+I131+I153</f>
        <v>2675.774</v>
      </c>
      <c r="J161" s="756">
        <f>J105+J106+J107+J129+J130+J131+J153</f>
        <v>18440.92</v>
      </c>
      <c r="K161" s="202"/>
      <c r="L161" s="96"/>
    </row>
    <row r="162" spans="1:12" s="758" customFormat="1" ht="19.5" customHeight="1">
      <c r="A162" s="753"/>
      <c r="B162" s="754"/>
      <c r="C162" s="759">
        <v>2018</v>
      </c>
      <c r="D162" s="716">
        <f>D108+D109+D110+D132+D133+D134+D154</f>
        <v>23092.704</v>
      </c>
      <c r="E162" s="760">
        <f>E108+E109+E110+E132+E133+E134+E154</f>
        <v>0</v>
      </c>
      <c r="F162" s="761">
        <f t="shared" si="14"/>
        <v>0</v>
      </c>
      <c r="G162" s="760">
        <f>G108+G109+G110+G132+G133+G134+G154</f>
        <v>0</v>
      </c>
      <c r="H162" s="760">
        <f>H108+H109+H110+H132+H133+H134+H154</f>
        <v>0</v>
      </c>
      <c r="I162" s="716">
        <f>I108+I109+I110+I132+I133+I134+I154</f>
        <v>2668.525</v>
      </c>
      <c r="J162" s="716">
        <f>J108+J109+J110+J132+J133+J134+J154</f>
        <v>20424.179</v>
      </c>
      <c r="K162" s="202"/>
      <c r="L162" s="96"/>
    </row>
    <row r="163" spans="1:12" s="758" customFormat="1" ht="19.5" customHeight="1">
      <c r="A163" s="753"/>
      <c r="B163" s="754"/>
      <c r="C163" s="759">
        <v>2019</v>
      </c>
      <c r="D163" s="716">
        <f>D111+D112+D113+D135+D136+D137+D155</f>
        <v>24317.088</v>
      </c>
      <c r="E163" s="760">
        <f>E111+E112+E113+E135+E136+E137+E155</f>
        <v>0</v>
      </c>
      <c r="F163" s="761">
        <f t="shared" si="14"/>
        <v>0</v>
      </c>
      <c r="G163" s="760">
        <f>G111+G112+G113+G135+G136+G137+G155</f>
        <v>0</v>
      </c>
      <c r="H163" s="760">
        <f>H111+H112+H113+H135+H136+H137+H155</f>
        <v>0</v>
      </c>
      <c r="I163" s="716">
        <f>I111+I112+I113+I135+I136+I137+I155</f>
        <v>3691.31</v>
      </c>
      <c r="J163" s="716">
        <f>J111+J112+J113+J135+J136+J137+J155</f>
        <v>20625.778</v>
      </c>
      <c r="K163" s="202"/>
      <c r="L163" s="96"/>
    </row>
    <row r="164" spans="1:12" s="758" customFormat="1" ht="19.5" customHeight="1">
      <c r="A164" s="753"/>
      <c r="B164" s="754"/>
      <c r="C164" s="759">
        <v>2020</v>
      </c>
      <c r="D164" s="716">
        <f>D156+D138+D114</f>
        <v>25586.21</v>
      </c>
      <c r="E164" s="716">
        <f>E114+E115+E116+E140+E144+E145+E156</f>
        <v>0</v>
      </c>
      <c r="F164" s="716">
        <f>F114+F115+F116+F140+F144+F145+F156</f>
        <v>0</v>
      </c>
      <c r="G164" s="716">
        <f>G114+G115+G116+G140+G144+G145+G156</f>
        <v>0</v>
      </c>
      <c r="H164" s="716">
        <f>H114+H115+H116+H140+H144+H145+H156</f>
        <v>0</v>
      </c>
      <c r="I164" s="716">
        <f>I114+I115+I116+I138+I139+I140+I156</f>
        <v>3031.31</v>
      </c>
      <c r="J164" s="716">
        <f>J114+J115+J116+J138+J139+J140+J156</f>
        <v>22554.9</v>
      </c>
      <c r="K164" s="202"/>
      <c r="L164" s="96"/>
    </row>
    <row r="165" spans="1:16" s="758" customFormat="1" ht="19.5" customHeight="1">
      <c r="A165" s="753"/>
      <c r="B165" s="754"/>
      <c r="C165" s="759">
        <v>2021</v>
      </c>
      <c r="D165" s="716">
        <f>D157+D143+D142+D141+D119+D118+D117</f>
        <v>24638.04706</v>
      </c>
      <c r="E165" s="716">
        <f>E157+E143+E142+E141+E119+E118+E117</f>
        <v>0</v>
      </c>
      <c r="F165" s="716">
        <f>F157+F143+F142+F141+F119+F118+F117</f>
        <v>0</v>
      </c>
      <c r="G165" s="716">
        <f>G157+G143+G142+G141+G119+G118+G117</f>
        <v>0</v>
      </c>
      <c r="H165" s="716">
        <f>H157+H143+H142+H141+H119+H118+H117</f>
        <v>0</v>
      </c>
      <c r="I165" s="716">
        <f>I157+I143+I142+I141+I119+I118+I117</f>
        <v>4012.2690599999996</v>
      </c>
      <c r="J165" s="716">
        <f>J157+J143+J142+J141+J119+J118+J117</f>
        <v>20625.778</v>
      </c>
      <c r="K165" s="202"/>
      <c r="L165" s="96"/>
      <c r="P165" s="762"/>
    </row>
    <row r="166" spans="1:12" s="758" customFormat="1" ht="19.5" customHeight="1">
      <c r="A166" s="753"/>
      <c r="B166" s="754"/>
      <c r="C166" s="759">
        <v>2022</v>
      </c>
      <c r="D166" s="763">
        <f>D120+D144+D158</f>
        <v>22963.064</v>
      </c>
      <c r="E166" s="763">
        <f>E120+E121+E122+E144+E145+E146+E158</f>
        <v>0</v>
      </c>
      <c r="F166" s="764">
        <f>G166+H166</f>
        <v>0</v>
      </c>
      <c r="G166" s="763">
        <f>G120+G121+G122+G144+G145+G146+G158</f>
        <v>0</v>
      </c>
      <c r="H166" s="763">
        <f>H120+H121+H122+H144+H145+H146+H158</f>
        <v>0</v>
      </c>
      <c r="I166" s="763">
        <f>I120+I121+I122+I144+I145+I146+I158</f>
        <v>2963.0640000000003</v>
      </c>
      <c r="J166" s="763">
        <f>J120+J121+J122+J144+J145+J146+J158</f>
        <v>20000</v>
      </c>
      <c r="K166" s="202"/>
      <c r="L166" s="96"/>
    </row>
    <row r="167" spans="1:14" s="758" customFormat="1" ht="19.5" customHeight="1">
      <c r="A167" s="753"/>
      <c r="B167" s="754"/>
      <c r="C167" s="759">
        <v>2023</v>
      </c>
      <c r="D167" s="763">
        <f aca="true" t="shared" si="16" ref="D167:D168">D159+D149+D148+D147+D125+D124+D123</f>
        <v>20000</v>
      </c>
      <c r="E167" s="763">
        <f aca="true" t="shared" si="17" ref="E167:E168">E159+E149+E148+E147+E125+E124+E123</f>
        <v>0</v>
      </c>
      <c r="F167" s="763">
        <f aca="true" t="shared" si="18" ref="F167:F168">F159+F149+F148+F147+F125+F124+F123</f>
        <v>0</v>
      </c>
      <c r="G167" s="763">
        <f aca="true" t="shared" si="19" ref="G167:G168">G159+G149+G148+G147+G125+G124+G123</f>
        <v>0</v>
      </c>
      <c r="H167" s="763">
        <f aca="true" t="shared" si="20" ref="H167:H168">H159+H149+H148+H147+H125+H124+H123</f>
        <v>0</v>
      </c>
      <c r="I167" s="763">
        <f aca="true" t="shared" si="21" ref="I167:I168">I159+I149+I148+I147+I125+I124+I123</f>
        <v>0</v>
      </c>
      <c r="J167" s="763">
        <f aca="true" t="shared" si="22" ref="J167:J168">J159+J149+J148+J147+J125+J124+J123</f>
        <v>20000</v>
      </c>
      <c r="K167" s="202"/>
      <c r="L167" s="96"/>
      <c r="N167" s="765"/>
    </row>
    <row r="168" spans="1:12" s="758" customFormat="1" ht="19.5" customHeight="1">
      <c r="A168" s="753"/>
      <c r="B168" s="754"/>
      <c r="C168" s="759">
        <v>2024</v>
      </c>
      <c r="D168" s="763">
        <f t="shared" si="16"/>
        <v>20000</v>
      </c>
      <c r="E168" s="763">
        <f t="shared" si="17"/>
        <v>0</v>
      </c>
      <c r="F168" s="763">
        <f t="shared" si="18"/>
        <v>0</v>
      </c>
      <c r="G168" s="763">
        <f t="shared" si="19"/>
        <v>0</v>
      </c>
      <c r="H168" s="763">
        <f t="shared" si="20"/>
        <v>0</v>
      </c>
      <c r="I168" s="763">
        <f t="shared" si="21"/>
        <v>0</v>
      </c>
      <c r="J168" s="763">
        <f t="shared" si="22"/>
        <v>20000</v>
      </c>
      <c r="K168" s="202"/>
      <c r="L168" s="96"/>
    </row>
    <row r="169" spans="1:12" s="758" customFormat="1" ht="19.5" customHeight="1">
      <c r="A169" s="766"/>
      <c r="B169" s="358" t="s">
        <v>412</v>
      </c>
      <c r="C169" s="767" t="s">
        <v>413</v>
      </c>
      <c r="D169" s="768">
        <f>SUM(D170:D177)</f>
        <v>252341.73267</v>
      </c>
      <c r="E169" s="768">
        <f>SUM(E170:E177)</f>
        <v>0</v>
      </c>
      <c r="F169" s="768">
        <f>SUM(F170:F177)</f>
        <v>46926.299999999996</v>
      </c>
      <c r="G169" s="768">
        <f>SUM(G170:G177)</f>
        <v>37433.1</v>
      </c>
      <c r="H169" s="768">
        <f>SUM(H170:H177)</f>
        <v>9493.2</v>
      </c>
      <c r="I169" s="768">
        <f>SUM(I170:I177)</f>
        <v>40136.58066999999</v>
      </c>
      <c r="J169" s="768">
        <f>SUM(J170:J177)</f>
        <v>165278.852</v>
      </c>
      <c r="K169" s="202"/>
      <c r="L169" s="96"/>
    </row>
    <row r="170" spans="1:12" s="758" customFormat="1" ht="19.5" customHeight="1">
      <c r="A170" s="766"/>
      <c r="B170" s="358"/>
      <c r="C170" s="23">
        <v>2017</v>
      </c>
      <c r="D170" s="768">
        <f aca="true" t="shared" si="23" ref="D170:D177">D94+D161</f>
        <v>26096.412000000004</v>
      </c>
      <c r="E170" s="769">
        <f aca="true" t="shared" si="24" ref="E170:E177">E94+E161</f>
        <v>0</v>
      </c>
      <c r="F170" s="770">
        <f aca="true" t="shared" si="25" ref="F170:F175">G170+H170</f>
        <v>2078</v>
      </c>
      <c r="G170" s="769">
        <f aca="true" t="shared" si="26" ref="G170:G177">G94+G161</f>
        <v>0</v>
      </c>
      <c r="H170" s="769">
        <f aca="true" t="shared" si="27" ref="H170:H177">H94+H161</f>
        <v>2078</v>
      </c>
      <c r="I170" s="769">
        <f aca="true" t="shared" si="28" ref="I170:I177">I94+I161</f>
        <v>5577.492</v>
      </c>
      <c r="J170" s="769">
        <f aca="true" t="shared" si="29" ref="J170:J177">J94+J161</f>
        <v>18440.92</v>
      </c>
      <c r="K170" s="202"/>
      <c r="L170" s="96"/>
    </row>
    <row r="171" spans="1:12" s="758" customFormat="1" ht="19.5" customHeight="1">
      <c r="A171" s="766"/>
      <c r="B171" s="358"/>
      <c r="C171" s="23">
        <v>2018</v>
      </c>
      <c r="D171" s="768">
        <f t="shared" si="23"/>
        <v>27706.082500000004</v>
      </c>
      <c r="E171" s="769">
        <f t="shared" si="24"/>
        <v>0</v>
      </c>
      <c r="F171" s="770">
        <f t="shared" si="25"/>
        <v>2215</v>
      </c>
      <c r="G171" s="769">
        <f t="shared" si="26"/>
        <v>0</v>
      </c>
      <c r="H171" s="769">
        <f t="shared" si="27"/>
        <v>2215</v>
      </c>
      <c r="I171" s="769">
        <f t="shared" si="28"/>
        <v>5066.9035</v>
      </c>
      <c r="J171" s="769">
        <f t="shared" si="29"/>
        <v>20424.179</v>
      </c>
      <c r="K171" s="202"/>
      <c r="L171" s="96"/>
    </row>
    <row r="172" spans="1:12" s="758" customFormat="1" ht="19.5" customHeight="1">
      <c r="A172" s="766"/>
      <c r="B172" s="358"/>
      <c r="C172" s="23">
        <v>2019</v>
      </c>
      <c r="D172" s="768">
        <f t="shared" si="23"/>
        <v>33302.22111</v>
      </c>
      <c r="E172" s="769">
        <f t="shared" si="24"/>
        <v>0</v>
      </c>
      <c r="F172" s="770">
        <f t="shared" si="25"/>
        <v>2292</v>
      </c>
      <c r="G172" s="769">
        <f t="shared" si="26"/>
        <v>0</v>
      </c>
      <c r="H172" s="769">
        <f t="shared" si="27"/>
        <v>2292</v>
      </c>
      <c r="I172" s="769">
        <f t="shared" si="28"/>
        <v>7777.14611</v>
      </c>
      <c r="J172" s="769">
        <f t="shared" si="29"/>
        <v>23233.074999999997</v>
      </c>
      <c r="K172" s="202"/>
      <c r="L172" s="96"/>
    </row>
    <row r="173" spans="1:18" s="758" customFormat="1" ht="19.5" customHeight="1">
      <c r="A173" s="766"/>
      <c r="B173" s="358"/>
      <c r="C173" s="23">
        <v>2020</v>
      </c>
      <c r="D173" s="768">
        <f t="shared" si="23"/>
        <v>35431.61</v>
      </c>
      <c r="E173" s="769">
        <f t="shared" si="24"/>
        <v>0</v>
      </c>
      <c r="F173" s="770">
        <f t="shared" si="25"/>
        <v>5924.2</v>
      </c>
      <c r="G173" s="769">
        <f t="shared" si="26"/>
        <v>3250</v>
      </c>
      <c r="H173" s="769">
        <f t="shared" si="27"/>
        <v>2674.2</v>
      </c>
      <c r="I173" s="769">
        <f t="shared" si="28"/>
        <v>6952.51</v>
      </c>
      <c r="J173" s="769">
        <f t="shared" si="29"/>
        <v>22554.9</v>
      </c>
      <c r="K173" s="202"/>
      <c r="L173" s="96"/>
      <c r="N173" s="765"/>
      <c r="P173" s="765"/>
      <c r="R173" s="765"/>
    </row>
    <row r="174" spans="1:14" s="758" customFormat="1" ht="19.5" customHeight="1">
      <c r="A174" s="766"/>
      <c r="B174" s="358"/>
      <c r="C174" s="23">
        <v>2021</v>
      </c>
      <c r="D174" s="768">
        <f t="shared" si="23"/>
        <v>36219.44306</v>
      </c>
      <c r="E174" s="769">
        <f t="shared" si="24"/>
        <v>0</v>
      </c>
      <c r="F174" s="770">
        <f t="shared" si="25"/>
        <v>8275.1</v>
      </c>
      <c r="G174" s="769">
        <f t="shared" si="26"/>
        <v>8041.1</v>
      </c>
      <c r="H174" s="769">
        <f t="shared" si="27"/>
        <v>234</v>
      </c>
      <c r="I174" s="769">
        <f t="shared" si="28"/>
        <v>7318.565059999999</v>
      </c>
      <c r="J174" s="769">
        <f t="shared" si="29"/>
        <v>20625.778</v>
      </c>
      <c r="K174" s="202"/>
      <c r="L174" s="96"/>
      <c r="N174" s="765"/>
    </row>
    <row r="175" spans="1:18" s="758" customFormat="1" ht="19.5" customHeight="1">
      <c r="A175" s="766"/>
      <c r="B175" s="358"/>
      <c r="C175" s="23">
        <v>2022</v>
      </c>
      <c r="D175" s="768">
        <f t="shared" si="23"/>
        <v>34971.664</v>
      </c>
      <c r="E175" s="769">
        <f t="shared" si="24"/>
        <v>0</v>
      </c>
      <c r="F175" s="770">
        <f t="shared" si="25"/>
        <v>8644.599999999999</v>
      </c>
      <c r="G175" s="769">
        <f t="shared" si="26"/>
        <v>8644.599999999999</v>
      </c>
      <c r="H175" s="769">
        <f t="shared" si="27"/>
        <v>0</v>
      </c>
      <c r="I175" s="769">
        <f t="shared" si="28"/>
        <v>6327.064</v>
      </c>
      <c r="J175" s="769">
        <f t="shared" si="29"/>
        <v>20000</v>
      </c>
      <c r="K175" s="202"/>
      <c r="L175" s="96"/>
      <c r="N175" s="765"/>
      <c r="P175" s="765"/>
      <c r="R175" s="765"/>
    </row>
    <row r="176" spans="1:18" s="758" customFormat="1" ht="19.5" customHeight="1">
      <c r="A176" s="766"/>
      <c r="B176" s="358"/>
      <c r="C176" s="23">
        <v>2023</v>
      </c>
      <c r="D176" s="768">
        <f t="shared" si="23"/>
        <v>29178.5</v>
      </c>
      <c r="E176" s="769">
        <f t="shared" si="24"/>
        <v>0</v>
      </c>
      <c r="F176" s="769">
        <f aca="true" t="shared" si="30" ref="F176:F177">F100+F167</f>
        <v>8627.8</v>
      </c>
      <c r="G176" s="769">
        <f t="shared" si="26"/>
        <v>8627.8</v>
      </c>
      <c r="H176" s="769">
        <f t="shared" si="27"/>
        <v>0</v>
      </c>
      <c r="I176" s="769">
        <f t="shared" si="28"/>
        <v>550.7</v>
      </c>
      <c r="J176" s="769">
        <f t="shared" si="29"/>
        <v>20000</v>
      </c>
      <c r="K176" s="202"/>
      <c r="L176" s="96"/>
      <c r="N176" s="765"/>
      <c r="P176" s="765"/>
      <c r="R176" s="765"/>
    </row>
    <row r="177" spans="1:18" s="758" customFormat="1" ht="19.5" customHeight="1">
      <c r="A177" s="766"/>
      <c r="B177" s="358"/>
      <c r="C177" s="771">
        <v>2024</v>
      </c>
      <c r="D177" s="772">
        <f t="shared" si="23"/>
        <v>29435.800000000003</v>
      </c>
      <c r="E177" s="773">
        <f t="shared" si="24"/>
        <v>0</v>
      </c>
      <c r="F177" s="773">
        <f t="shared" si="30"/>
        <v>8869.6</v>
      </c>
      <c r="G177" s="773">
        <f t="shared" si="26"/>
        <v>8869.6</v>
      </c>
      <c r="H177" s="773">
        <f t="shared" si="27"/>
        <v>0</v>
      </c>
      <c r="I177" s="773">
        <f t="shared" si="28"/>
        <v>566.2</v>
      </c>
      <c r="J177" s="773">
        <f t="shared" si="29"/>
        <v>20000</v>
      </c>
      <c r="K177" s="202"/>
      <c r="L177" s="96"/>
      <c r="N177" s="765"/>
      <c r="P177" s="765"/>
      <c r="R177" s="765"/>
    </row>
    <row r="178" spans="1:12" s="758" customFormat="1" ht="19.5" customHeight="1">
      <c r="A178" s="774"/>
      <c r="B178" s="775"/>
      <c r="C178" s="776"/>
      <c r="D178" s="777"/>
      <c r="E178" s="778"/>
      <c r="F178" s="779"/>
      <c r="G178" s="778"/>
      <c r="H178" s="778"/>
      <c r="I178" s="780"/>
      <c r="J178" s="780"/>
      <c r="K178" s="146"/>
      <c r="L178" s="146"/>
    </row>
    <row r="179" spans="2:11" ht="16.5" customHeight="1">
      <c r="B179" s="781"/>
      <c r="C179" s="782"/>
      <c r="D179" s="783"/>
      <c r="E179" s="784"/>
      <c r="F179" s="784"/>
      <c r="G179" s="785"/>
      <c r="H179" s="786"/>
      <c r="I179" s="17"/>
      <c r="J179" s="17"/>
      <c r="K179" s="786"/>
    </row>
    <row r="180" spans="2:11" ht="23.25" customHeight="1">
      <c r="B180" s="17"/>
      <c r="C180" s="782"/>
      <c r="D180" s="782"/>
      <c r="E180" s="787"/>
      <c r="F180" s="787"/>
      <c r="G180" s="788"/>
      <c r="H180" s="789"/>
      <c r="I180" s="790"/>
      <c r="J180" s="790"/>
      <c r="K180" s="17"/>
    </row>
    <row r="181" spans="2:11" ht="21.75" customHeight="1">
      <c r="B181" s="17"/>
      <c r="C181" s="782"/>
      <c r="D181" s="782"/>
      <c r="E181" s="787"/>
      <c r="F181" s="787"/>
      <c r="G181" s="788"/>
      <c r="H181" s="791"/>
      <c r="I181" s="17"/>
      <c r="J181" s="17"/>
      <c r="K181" s="17"/>
    </row>
    <row r="182" spans="2:11" ht="27.75" customHeight="1">
      <c r="B182" s="17"/>
      <c r="C182" s="782"/>
      <c r="D182" s="782"/>
      <c r="E182" s="17"/>
      <c r="F182" s="17"/>
      <c r="G182" s="788"/>
      <c r="H182" s="17"/>
      <c r="I182" s="792"/>
      <c r="J182" s="792"/>
      <c r="K182" s="17"/>
    </row>
    <row r="183" spans="2:11" ht="21.75" customHeight="1">
      <c r="B183" s="17"/>
      <c r="C183" s="782"/>
      <c r="D183" s="782"/>
      <c r="E183" s="17"/>
      <c r="F183" s="17"/>
      <c r="G183" s="788"/>
      <c r="H183" s="17"/>
      <c r="I183" s="17"/>
      <c r="J183" s="17"/>
      <c r="K183" s="17"/>
    </row>
    <row r="184" spans="2:11" ht="27.75" customHeight="1">
      <c r="B184" s="17"/>
      <c r="C184" s="793"/>
      <c r="D184" s="782"/>
      <c r="E184" s="17"/>
      <c r="F184" s="17"/>
      <c r="G184" s="788"/>
      <c r="H184" s="791"/>
      <c r="I184" s="17"/>
      <c r="J184" s="17"/>
      <c r="K184" s="17"/>
    </row>
    <row r="185" spans="2:10" ht="21" customHeight="1">
      <c r="B185" s="794"/>
      <c r="C185" s="794"/>
      <c r="D185" s="794"/>
      <c r="E185" s="794"/>
      <c r="F185" s="794"/>
      <c r="G185" s="794"/>
      <c r="H185" s="794"/>
      <c r="I185" s="794"/>
      <c r="J185" s="794"/>
    </row>
  </sheetData>
  <sheetProtection selectLockedCells="1" selectUnlockedCells="1"/>
  <mergeCells count="117">
    <mergeCell ref="D1:L1"/>
    <mergeCell ref="I2:L2"/>
    <mergeCell ref="B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H5"/>
    <mergeCell ref="I5:I8"/>
    <mergeCell ref="F6:H6"/>
    <mergeCell ref="F7:F8"/>
    <mergeCell ref="G7:H7"/>
    <mergeCell ref="B10:L10"/>
    <mergeCell ref="A11:A12"/>
    <mergeCell ref="B11:L12"/>
    <mergeCell ref="A13:A14"/>
    <mergeCell ref="B13:L13"/>
    <mergeCell ref="B14:L14"/>
    <mergeCell ref="A16:A30"/>
    <mergeCell ref="B16:B30"/>
    <mergeCell ref="L16:L30"/>
    <mergeCell ref="A31:A37"/>
    <mergeCell ref="B31:B37"/>
    <mergeCell ref="L31:L82"/>
    <mergeCell ref="A38:A50"/>
    <mergeCell ref="B38:B50"/>
    <mergeCell ref="C39:C40"/>
    <mergeCell ref="D39:D40"/>
    <mergeCell ref="C41:C42"/>
    <mergeCell ref="C43:C44"/>
    <mergeCell ref="C45:C46"/>
    <mergeCell ref="C47:C48"/>
    <mergeCell ref="C49:C50"/>
    <mergeCell ref="A51:A62"/>
    <mergeCell ref="B51:B62"/>
    <mergeCell ref="C53:C54"/>
    <mergeCell ref="C55:C56"/>
    <mergeCell ref="C57:C58"/>
    <mergeCell ref="C59:C60"/>
    <mergeCell ref="C61:C62"/>
    <mergeCell ref="A63:A76"/>
    <mergeCell ref="B63:B76"/>
    <mergeCell ref="C65:C66"/>
    <mergeCell ref="C67:C68"/>
    <mergeCell ref="C69:C70"/>
    <mergeCell ref="C71:C72"/>
    <mergeCell ref="C73:C74"/>
    <mergeCell ref="C75:C76"/>
    <mergeCell ref="A77:A82"/>
    <mergeCell ref="B77:B82"/>
    <mergeCell ref="A83:A90"/>
    <mergeCell ref="B83:B89"/>
    <mergeCell ref="L83:L91"/>
    <mergeCell ref="C84:C85"/>
    <mergeCell ref="D84:D85"/>
    <mergeCell ref="K86:K88"/>
    <mergeCell ref="K89:K91"/>
    <mergeCell ref="A92:A93"/>
    <mergeCell ref="C92:C93"/>
    <mergeCell ref="A94:A100"/>
    <mergeCell ref="B94:B100"/>
    <mergeCell ref="B102:L102"/>
    <mergeCell ref="B103:L103"/>
    <mergeCell ref="A105:A125"/>
    <mergeCell ref="B105:B128"/>
    <mergeCell ref="C105:C107"/>
    <mergeCell ref="D105:D107"/>
    <mergeCell ref="L105:L128"/>
    <mergeCell ref="C108:C110"/>
    <mergeCell ref="D108:D110"/>
    <mergeCell ref="C111:C113"/>
    <mergeCell ref="D111:D113"/>
    <mergeCell ref="C114:C116"/>
    <mergeCell ref="D114:D116"/>
    <mergeCell ref="C117:C119"/>
    <mergeCell ref="D117:D119"/>
    <mergeCell ref="C120:C122"/>
    <mergeCell ref="D120:D122"/>
    <mergeCell ref="C123:C125"/>
    <mergeCell ref="D123:D125"/>
    <mergeCell ref="C126:C128"/>
    <mergeCell ref="D126:D128"/>
    <mergeCell ref="A129:A152"/>
    <mergeCell ref="B129:B152"/>
    <mergeCell ref="C129:C131"/>
    <mergeCell ref="D129:D131"/>
    <mergeCell ref="L129:L152"/>
    <mergeCell ref="C132:C134"/>
    <mergeCell ref="D132:D134"/>
    <mergeCell ref="C135:C137"/>
    <mergeCell ref="D135:D137"/>
    <mergeCell ref="C138:C140"/>
    <mergeCell ref="D138:D140"/>
    <mergeCell ref="C141:C143"/>
    <mergeCell ref="D141:D143"/>
    <mergeCell ref="C144:C146"/>
    <mergeCell ref="D144:D146"/>
    <mergeCell ref="C147:C149"/>
    <mergeCell ref="D147:D149"/>
    <mergeCell ref="C150:C152"/>
    <mergeCell ref="D150:D152"/>
    <mergeCell ref="A153:A160"/>
    <mergeCell ref="B153:B160"/>
    <mergeCell ref="K153:K157"/>
    <mergeCell ref="L153:L160"/>
    <mergeCell ref="K158:K160"/>
    <mergeCell ref="A161:A168"/>
    <mergeCell ref="B161:B168"/>
    <mergeCell ref="K161:K177"/>
    <mergeCell ref="L161:L177"/>
    <mergeCell ref="A169:A177"/>
    <mergeCell ref="B169:B177"/>
  </mergeCells>
  <printOptions/>
  <pageMargins left="0.7875" right="0.7875" top="1.025" bottom="1.025" header="0.7875" footer="0.7875"/>
  <pageSetup horizontalDpi="300" verticalDpi="300" orientation="portrait" paperSize="9" scale="31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zoomScale="80" zoomScaleNormal="80" zoomScaleSheetLayoutView="75" workbookViewId="0" topLeftCell="A1">
      <selection activeCell="U27" sqref="U27"/>
    </sheetView>
  </sheetViews>
  <sheetFormatPr defaultColWidth="9.00390625" defaultRowHeight="12.75" customHeight="1"/>
  <cols>
    <col min="1" max="1" width="6.125" style="646" customWidth="1"/>
    <col min="2" max="2" width="42.125" style="646" customWidth="1"/>
    <col min="3" max="3" width="27.375" style="646" customWidth="1"/>
    <col min="4" max="4" width="9.875" style="646" hidden="1" customWidth="1"/>
    <col min="5" max="5" width="20.875" style="646" customWidth="1"/>
    <col min="6" max="6" width="7.625" style="646" hidden="1" customWidth="1"/>
    <col min="7" max="7" width="12.875" style="646" customWidth="1"/>
    <col min="8" max="8" width="15.375" style="646" customWidth="1"/>
    <col min="9" max="9" width="14.50390625" style="646" customWidth="1"/>
    <col min="10" max="10" width="18.25390625" style="646" customWidth="1"/>
    <col min="11" max="11" width="9.125" style="646" customWidth="1"/>
    <col min="12" max="12" width="18.125" style="646" customWidth="1"/>
    <col min="13" max="13" width="9.125" style="646" customWidth="1"/>
    <col min="14" max="14" width="17.375" style="646" customWidth="1"/>
    <col min="15" max="15" width="26.375" style="646" customWidth="1"/>
    <col min="16" max="16" width="38.875" style="646" customWidth="1"/>
    <col min="17" max="18" width="9.125" style="646" customWidth="1"/>
    <col min="19" max="19" width="4.375" style="646" customWidth="1"/>
    <col min="20" max="16384" width="9.125" style="646" customWidth="1"/>
  </cols>
  <sheetData>
    <row r="1" spans="1:16" ht="16.5" customHeight="1">
      <c r="A1" s="795"/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7"/>
      <c r="M1" s="797"/>
      <c r="N1" s="798" t="s">
        <v>414</v>
      </c>
      <c r="O1" s="798"/>
      <c r="P1" s="798"/>
    </row>
    <row r="2" spans="1:16" ht="16.5" customHeight="1">
      <c r="A2" s="795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8" t="s">
        <v>368</v>
      </c>
      <c r="M2" s="798"/>
      <c r="N2" s="798"/>
      <c r="O2" s="798"/>
      <c r="P2" s="798"/>
    </row>
    <row r="3" spans="1:16" ht="18.75" customHeight="1">
      <c r="A3" s="800"/>
      <c r="B3" s="801"/>
      <c r="C3" s="802"/>
      <c r="D3" s="802"/>
      <c r="E3" s="803"/>
      <c r="F3" s="802"/>
      <c r="G3" s="802" t="s">
        <v>415</v>
      </c>
      <c r="H3" s="802"/>
      <c r="I3" s="802"/>
      <c r="J3" s="802"/>
      <c r="K3" s="802"/>
      <c r="L3" s="802"/>
      <c r="M3" s="802"/>
      <c r="N3" s="802"/>
      <c r="O3" s="801"/>
      <c r="P3" s="804"/>
    </row>
    <row r="4" spans="1:16" ht="15" customHeight="1">
      <c r="A4" s="805" t="s">
        <v>416</v>
      </c>
      <c r="B4" s="806" t="s">
        <v>417</v>
      </c>
      <c r="C4" s="806" t="s">
        <v>418</v>
      </c>
      <c r="D4" s="806" t="s">
        <v>6</v>
      </c>
      <c r="E4" s="806"/>
      <c r="F4" s="807" t="s">
        <v>419</v>
      </c>
      <c r="G4" s="808" t="s">
        <v>7</v>
      </c>
      <c r="H4" s="808"/>
      <c r="I4" s="808"/>
      <c r="J4" s="808"/>
      <c r="K4" s="808"/>
      <c r="L4" s="808"/>
      <c r="M4" s="809" t="s">
        <v>8</v>
      </c>
      <c r="N4" s="809"/>
      <c r="O4" s="806" t="s">
        <v>420</v>
      </c>
      <c r="P4" s="810" t="s">
        <v>421</v>
      </c>
    </row>
    <row r="5" spans="1:16" ht="15" customHeight="1">
      <c r="A5" s="805"/>
      <c r="B5" s="806"/>
      <c r="C5" s="806"/>
      <c r="D5" s="806"/>
      <c r="E5" s="806"/>
      <c r="F5" s="811"/>
      <c r="G5" s="23" t="s">
        <v>11</v>
      </c>
      <c r="H5" s="812" t="s">
        <v>375</v>
      </c>
      <c r="I5" s="812"/>
      <c r="J5" s="812"/>
      <c r="K5" s="812"/>
      <c r="L5" s="812"/>
      <c r="M5" s="809"/>
      <c r="N5" s="809"/>
      <c r="O5" s="806"/>
      <c r="P5" s="810"/>
    </row>
    <row r="6" spans="1:16" ht="30" customHeight="1">
      <c r="A6" s="805"/>
      <c r="B6" s="806"/>
      <c r="C6" s="806"/>
      <c r="D6" s="806"/>
      <c r="E6" s="806"/>
      <c r="F6" s="811"/>
      <c r="G6" s="23"/>
      <c r="H6" s="813" t="s">
        <v>13</v>
      </c>
      <c r="I6" s="813"/>
      <c r="J6" s="813"/>
      <c r="K6" s="23" t="s">
        <v>14</v>
      </c>
      <c r="L6" s="23"/>
      <c r="M6" s="809"/>
      <c r="N6" s="809"/>
      <c r="O6" s="806"/>
      <c r="P6" s="810"/>
    </row>
    <row r="7" spans="1:16" ht="15" customHeight="1">
      <c r="A7" s="805"/>
      <c r="B7" s="806"/>
      <c r="C7" s="806"/>
      <c r="D7" s="806"/>
      <c r="E7" s="806"/>
      <c r="F7" s="811"/>
      <c r="G7" s="23"/>
      <c r="H7" s="814" t="s">
        <v>15</v>
      </c>
      <c r="I7" s="812" t="s">
        <v>16</v>
      </c>
      <c r="J7" s="812"/>
      <c r="K7" s="23"/>
      <c r="L7" s="23"/>
      <c r="M7" s="809"/>
      <c r="N7" s="809"/>
      <c r="O7" s="806"/>
      <c r="P7" s="810"/>
    </row>
    <row r="8" spans="1:16" ht="30" customHeight="1">
      <c r="A8" s="805"/>
      <c r="B8" s="806"/>
      <c r="C8" s="806"/>
      <c r="D8" s="806"/>
      <c r="E8" s="806"/>
      <c r="F8" s="811" t="s">
        <v>422</v>
      </c>
      <c r="G8" s="23"/>
      <c r="H8" s="814"/>
      <c r="I8" s="23" t="s">
        <v>423</v>
      </c>
      <c r="J8" s="815" t="s">
        <v>424</v>
      </c>
      <c r="K8" s="23"/>
      <c r="L8" s="23"/>
      <c r="M8" s="809"/>
      <c r="N8" s="809"/>
      <c r="O8" s="806"/>
      <c r="P8" s="810"/>
    </row>
    <row r="9" spans="1:16" s="804" customFormat="1" ht="15.75" customHeight="1">
      <c r="A9" s="816">
        <v>1</v>
      </c>
      <c r="B9" s="458">
        <v>2</v>
      </c>
      <c r="C9" s="458">
        <v>3</v>
      </c>
      <c r="D9" s="458">
        <v>4</v>
      </c>
      <c r="E9" s="458"/>
      <c r="F9" s="817">
        <v>5</v>
      </c>
      <c r="G9" s="458">
        <v>5</v>
      </c>
      <c r="H9" s="458">
        <v>6</v>
      </c>
      <c r="I9" s="458">
        <v>7</v>
      </c>
      <c r="J9" s="458">
        <v>8</v>
      </c>
      <c r="K9" s="458">
        <v>9</v>
      </c>
      <c r="L9" s="458"/>
      <c r="M9" s="458">
        <v>10</v>
      </c>
      <c r="N9" s="458"/>
      <c r="O9" s="458">
        <v>11</v>
      </c>
      <c r="P9" s="818">
        <v>12</v>
      </c>
    </row>
    <row r="10" spans="1:16" ht="15.75" customHeight="1">
      <c r="A10" s="819" t="s">
        <v>425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</row>
    <row r="11" spans="1:16" s="821" customFormat="1" ht="15.75" customHeight="1">
      <c r="A11" s="820" t="s">
        <v>426</v>
      </c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</row>
    <row r="12" spans="1:16" s="821" customFormat="1" ht="16.5" customHeight="1">
      <c r="A12" s="820" t="s">
        <v>427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</row>
    <row r="13" spans="1:16" s="821" customFormat="1" ht="17.25" customHeight="1">
      <c r="A13" s="822" t="s">
        <v>61</v>
      </c>
      <c r="B13" s="81" t="s">
        <v>428</v>
      </c>
      <c r="C13" s="709">
        <v>2017</v>
      </c>
      <c r="D13" s="709"/>
      <c r="E13" s="760">
        <f>G13+J13+L13+N13</f>
        <v>821.482</v>
      </c>
      <c r="F13" s="760"/>
      <c r="G13" s="760"/>
      <c r="H13" s="760">
        <f>I13+J13</f>
        <v>355</v>
      </c>
      <c r="I13" s="760"/>
      <c r="J13" s="823">
        <v>355</v>
      </c>
      <c r="K13" s="823"/>
      <c r="L13" s="823">
        <v>341.482</v>
      </c>
      <c r="M13" s="823"/>
      <c r="N13" s="823">
        <v>125</v>
      </c>
      <c r="O13" s="78" t="s">
        <v>429</v>
      </c>
      <c r="P13" s="55" t="s">
        <v>430</v>
      </c>
    </row>
    <row r="14" spans="1:16" s="821" customFormat="1" ht="17.25" customHeight="1">
      <c r="A14" s="822"/>
      <c r="B14" s="81"/>
      <c r="C14" s="709"/>
      <c r="D14" s="709"/>
      <c r="E14" s="760"/>
      <c r="F14" s="760"/>
      <c r="G14" s="760"/>
      <c r="H14" s="760"/>
      <c r="I14" s="760"/>
      <c r="J14" s="823"/>
      <c r="K14" s="823"/>
      <c r="L14" s="823"/>
      <c r="M14" s="823"/>
      <c r="N14" s="823"/>
      <c r="O14" s="78" t="s">
        <v>431</v>
      </c>
      <c r="P14" s="55"/>
    </row>
    <row r="15" spans="1:16" s="821" customFormat="1" ht="17.25" customHeight="1">
      <c r="A15" s="822"/>
      <c r="B15" s="81"/>
      <c r="C15" s="709"/>
      <c r="D15" s="709"/>
      <c r="E15" s="760"/>
      <c r="F15" s="760"/>
      <c r="G15" s="760"/>
      <c r="H15" s="760"/>
      <c r="I15" s="760"/>
      <c r="J15" s="823"/>
      <c r="K15" s="823"/>
      <c r="L15" s="823"/>
      <c r="M15" s="823"/>
      <c r="N15" s="823"/>
      <c r="O15" s="78" t="s">
        <v>432</v>
      </c>
      <c r="P15" s="55"/>
    </row>
    <row r="16" spans="1:16" s="821" customFormat="1" ht="17.25" customHeight="1">
      <c r="A16" s="822"/>
      <c r="B16" s="81"/>
      <c r="C16" s="709">
        <v>2018</v>
      </c>
      <c r="D16" s="824"/>
      <c r="E16" s="760">
        <v>936.281</v>
      </c>
      <c r="F16" s="823"/>
      <c r="G16" s="823"/>
      <c r="H16" s="823">
        <f aca="true" t="shared" si="0" ref="H16:H30">I16+J16</f>
        <v>263</v>
      </c>
      <c r="I16" s="823"/>
      <c r="J16" s="823">
        <v>263</v>
      </c>
      <c r="K16" s="823"/>
      <c r="L16" s="823">
        <v>277.757</v>
      </c>
      <c r="M16" s="823"/>
      <c r="N16" s="823">
        <v>113</v>
      </c>
      <c r="O16" s="78" t="s">
        <v>429</v>
      </c>
      <c r="P16" s="55"/>
    </row>
    <row r="17" spans="1:16" s="821" customFormat="1" ht="18" customHeight="1">
      <c r="A17" s="822"/>
      <c r="B17" s="81"/>
      <c r="C17" s="825"/>
      <c r="D17" s="826"/>
      <c r="E17" s="823"/>
      <c r="F17" s="823"/>
      <c r="G17" s="823"/>
      <c r="H17" s="823">
        <f t="shared" si="0"/>
        <v>110</v>
      </c>
      <c r="I17" s="823"/>
      <c r="J17" s="823">
        <v>110</v>
      </c>
      <c r="K17" s="823"/>
      <c r="L17" s="823">
        <v>82.524</v>
      </c>
      <c r="M17" s="823"/>
      <c r="N17" s="823">
        <v>90</v>
      </c>
      <c r="O17" s="78" t="s">
        <v>431</v>
      </c>
      <c r="P17" s="55"/>
    </row>
    <row r="18" spans="1:16" s="821" customFormat="1" ht="18" customHeight="1">
      <c r="A18" s="822"/>
      <c r="B18" s="81"/>
      <c r="C18" s="825"/>
      <c r="D18" s="826"/>
      <c r="E18" s="823"/>
      <c r="F18" s="823"/>
      <c r="G18" s="823"/>
      <c r="H18" s="823">
        <f t="shared" si="0"/>
        <v>0</v>
      </c>
      <c r="I18" s="823"/>
      <c r="J18" s="823"/>
      <c r="K18" s="823"/>
      <c r="L18" s="823"/>
      <c r="M18" s="823"/>
      <c r="N18" s="823"/>
      <c r="O18" s="78" t="s">
        <v>433</v>
      </c>
      <c r="P18" s="55"/>
    </row>
    <row r="19" spans="1:16" s="821" customFormat="1" ht="18.75" customHeight="1">
      <c r="A19" s="822"/>
      <c r="B19" s="81"/>
      <c r="C19" s="709">
        <v>2019</v>
      </c>
      <c r="D19" s="824"/>
      <c r="E19" s="760">
        <f aca="true" t="shared" si="1" ref="E19:E30">G19+H19+L19+N19</f>
        <v>882.7570000000001</v>
      </c>
      <c r="F19" s="823"/>
      <c r="G19" s="760"/>
      <c r="H19" s="760">
        <f t="shared" si="0"/>
        <v>380</v>
      </c>
      <c r="I19" s="760"/>
      <c r="J19" s="760">
        <f>J20+J21</f>
        <v>380</v>
      </c>
      <c r="K19" s="760"/>
      <c r="L19" s="760">
        <v>377.757</v>
      </c>
      <c r="M19" s="760"/>
      <c r="N19" s="760">
        <f>N20+N21</f>
        <v>125</v>
      </c>
      <c r="O19" s="827"/>
      <c r="P19" s="55"/>
    </row>
    <row r="20" spans="1:16" s="821" customFormat="1" ht="19.5" customHeight="1">
      <c r="A20" s="822"/>
      <c r="B20" s="81"/>
      <c r="C20" s="825"/>
      <c r="D20" s="826"/>
      <c r="E20" s="760">
        <f t="shared" si="1"/>
        <v>581.172</v>
      </c>
      <c r="F20" s="823"/>
      <c r="G20" s="823"/>
      <c r="H20" s="823">
        <f t="shared" si="0"/>
        <v>260.96</v>
      </c>
      <c r="I20" s="823"/>
      <c r="J20" s="823">
        <v>260.96</v>
      </c>
      <c r="K20" s="823"/>
      <c r="L20" s="823">
        <f>253.212</f>
        <v>253.212</v>
      </c>
      <c r="M20" s="823"/>
      <c r="N20" s="823">
        <v>67</v>
      </c>
      <c r="O20" s="78" t="s">
        <v>429</v>
      </c>
      <c r="P20" s="55"/>
    </row>
    <row r="21" spans="1:16" s="821" customFormat="1" ht="24" customHeight="1">
      <c r="A21" s="822"/>
      <c r="B21" s="81"/>
      <c r="C21" s="825"/>
      <c r="D21" s="826"/>
      <c r="E21" s="760">
        <f t="shared" si="1"/>
        <v>301.58500000000004</v>
      </c>
      <c r="F21" s="823"/>
      <c r="G21" s="823"/>
      <c r="H21" s="823">
        <f t="shared" si="0"/>
        <v>119.04</v>
      </c>
      <c r="I21" s="823"/>
      <c r="J21" s="823">
        <v>119.04</v>
      </c>
      <c r="K21" s="823"/>
      <c r="L21" s="823">
        <v>124.545</v>
      </c>
      <c r="M21" s="823"/>
      <c r="N21" s="823">
        <v>58</v>
      </c>
      <c r="O21" s="78" t="s">
        <v>431</v>
      </c>
      <c r="P21" s="55"/>
    </row>
    <row r="22" spans="1:16" s="821" customFormat="1" ht="18" customHeight="1">
      <c r="A22" s="822"/>
      <c r="B22" s="81"/>
      <c r="C22" s="709">
        <v>2020</v>
      </c>
      <c r="D22" s="826"/>
      <c r="E22" s="760">
        <f t="shared" si="1"/>
        <v>609.7</v>
      </c>
      <c r="F22" s="760">
        <f>F23+F24</f>
        <v>0</v>
      </c>
      <c r="G22" s="760">
        <f>G23+G24</f>
        <v>0</v>
      </c>
      <c r="H22" s="760">
        <f t="shared" si="0"/>
        <v>436.1</v>
      </c>
      <c r="I22" s="760">
        <f>I23+I24</f>
        <v>0</v>
      </c>
      <c r="J22" s="760">
        <f>J23+J24</f>
        <v>436.1</v>
      </c>
      <c r="K22" s="760">
        <f>K23+K24</f>
        <v>0</v>
      </c>
      <c r="L22" s="760">
        <f>L23+L24</f>
        <v>173.60000000000002</v>
      </c>
      <c r="M22" s="760">
        <f>M23+M24</f>
        <v>0</v>
      </c>
      <c r="N22" s="760">
        <f>N23+N24</f>
        <v>0</v>
      </c>
      <c r="O22" s="828"/>
      <c r="P22" s="55"/>
    </row>
    <row r="23" spans="1:16" s="821" customFormat="1" ht="18" customHeight="1">
      <c r="A23" s="822"/>
      <c r="B23" s="81"/>
      <c r="C23" s="709"/>
      <c r="D23" s="826"/>
      <c r="E23" s="760">
        <f t="shared" si="1"/>
        <v>442.01</v>
      </c>
      <c r="F23" s="823"/>
      <c r="G23" s="823"/>
      <c r="H23" s="823">
        <f t="shared" si="0"/>
        <v>292.2</v>
      </c>
      <c r="I23" s="823"/>
      <c r="J23" s="823">
        <v>292.2</v>
      </c>
      <c r="K23" s="823"/>
      <c r="L23" s="823">
        <f>253.212+0.46-105.072+34.972-0.4-33.362</f>
        <v>149.81</v>
      </c>
      <c r="M23" s="823"/>
      <c r="N23" s="823"/>
      <c r="O23" s="78" t="s">
        <v>429</v>
      </c>
      <c r="P23" s="55"/>
    </row>
    <row r="24" spans="1:16" s="821" customFormat="1" ht="18" customHeight="1">
      <c r="A24" s="822"/>
      <c r="B24" s="81"/>
      <c r="C24" s="709"/>
      <c r="D24" s="826"/>
      <c r="E24" s="760">
        <f t="shared" si="1"/>
        <v>167.69</v>
      </c>
      <c r="F24" s="823"/>
      <c r="G24" s="823"/>
      <c r="H24" s="823">
        <f t="shared" si="0"/>
        <v>143.9</v>
      </c>
      <c r="I24" s="823"/>
      <c r="J24" s="823">
        <v>143.9</v>
      </c>
      <c r="K24" s="823"/>
      <c r="L24" s="823">
        <f>124.545-103.045+42.081-39.791</f>
        <v>23.790000000000006</v>
      </c>
      <c r="M24" s="823"/>
      <c r="N24" s="823"/>
      <c r="O24" s="78" t="s">
        <v>431</v>
      </c>
      <c r="P24" s="55"/>
    </row>
    <row r="25" spans="1:16" s="821" customFormat="1" ht="18" customHeight="1">
      <c r="A25" s="822"/>
      <c r="B25" s="81"/>
      <c r="C25" s="709">
        <v>2021</v>
      </c>
      <c r="D25" s="826"/>
      <c r="E25" s="760">
        <f t="shared" si="1"/>
        <v>1180.3725</v>
      </c>
      <c r="F25" s="760">
        <f>F26+F27</f>
        <v>0</v>
      </c>
      <c r="G25" s="760">
        <f>G26+G27</f>
        <v>0</v>
      </c>
      <c r="H25" s="760">
        <f t="shared" si="0"/>
        <v>699.53</v>
      </c>
      <c r="I25" s="760">
        <f>I26+I27</f>
        <v>0</v>
      </c>
      <c r="J25" s="760">
        <f>J26+J27</f>
        <v>699.53</v>
      </c>
      <c r="K25" s="760">
        <f>K26+K27</f>
        <v>0</v>
      </c>
      <c r="L25" s="760">
        <f>L26+L27</f>
        <v>480.8425</v>
      </c>
      <c r="M25" s="760">
        <f>M26+M27</f>
        <v>0</v>
      </c>
      <c r="N25" s="760">
        <f>N26+N27</f>
        <v>0</v>
      </c>
      <c r="O25" s="829"/>
      <c r="P25" s="55"/>
    </row>
    <row r="26" spans="1:16" s="821" customFormat="1" ht="18" customHeight="1">
      <c r="A26" s="822"/>
      <c r="B26" s="81"/>
      <c r="C26" s="709"/>
      <c r="D26" s="826"/>
      <c r="E26" s="760">
        <f t="shared" si="1"/>
        <v>783.96</v>
      </c>
      <c r="F26" s="823"/>
      <c r="G26" s="823"/>
      <c r="H26" s="823">
        <f t="shared" si="0"/>
        <v>463.2</v>
      </c>
      <c r="I26" s="823"/>
      <c r="J26" s="823">
        <v>463.2</v>
      </c>
      <c r="K26" s="823"/>
      <c r="L26" s="823">
        <f>69.21379+251.54621</f>
        <v>320.76</v>
      </c>
      <c r="M26" s="823"/>
      <c r="N26" s="823"/>
      <c r="O26" s="78" t="s">
        <v>429</v>
      </c>
      <c r="P26" s="55"/>
    </row>
    <row r="27" spans="1:16" s="821" customFormat="1" ht="18" customHeight="1">
      <c r="A27" s="822"/>
      <c r="B27" s="81"/>
      <c r="C27" s="709"/>
      <c r="D27" s="826"/>
      <c r="E27" s="760">
        <f t="shared" si="1"/>
        <v>396.4125</v>
      </c>
      <c r="F27" s="823"/>
      <c r="G27" s="823"/>
      <c r="H27" s="823">
        <f t="shared" si="0"/>
        <v>236.33</v>
      </c>
      <c r="I27" s="823"/>
      <c r="J27" s="823">
        <v>236.33</v>
      </c>
      <c r="K27" s="823"/>
      <c r="L27" s="823">
        <f>35.31365+124.76885</f>
        <v>160.0825</v>
      </c>
      <c r="M27" s="823"/>
      <c r="N27" s="823"/>
      <c r="O27" s="78" t="s">
        <v>431</v>
      </c>
      <c r="P27" s="55"/>
    </row>
    <row r="28" spans="1:16" s="821" customFormat="1" ht="18" customHeight="1">
      <c r="A28" s="822"/>
      <c r="B28" s="81"/>
      <c r="C28" s="709">
        <v>2022</v>
      </c>
      <c r="D28" s="826"/>
      <c r="E28" s="760">
        <f t="shared" si="1"/>
        <v>971.6</v>
      </c>
      <c r="F28" s="760">
        <f>F29+F30</f>
        <v>0</v>
      </c>
      <c r="G28" s="760">
        <f>G29+G30</f>
        <v>0</v>
      </c>
      <c r="H28" s="760">
        <f t="shared" si="0"/>
        <v>499</v>
      </c>
      <c r="I28" s="760">
        <f>I29+I30</f>
        <v>0</v>
      </c>
      <c r="J28" s="760">
        <f>J29+J30</f>
        <v>499</v>
      </c>
      <c r="K28" s="760">
        <f>K29+K30</f>
        <v>0</v>
      </c>
      <c r="L28" s="760">
        <f>L29+L30</f>
        <v>472.6</v>
      </c>
      <c r="M28" s="760">
        <f>M29+M30</f>
        <v>0</v>
      </c>
      <c r="N28" s="760">
        <f>N29+N30</f>
        <v>0</v>
      </c>
      <c r="O28" s="828"/>
      <c r="P28" s="55"/>
    </row>
    <row r="29" spans="1:16" s="821" customFormat="1" ht="18" customHeight="1">
      <c r="A29" s="822"/>
      <c r="B29" s="81"/>
      <c r="C29" s="709"/>
      <c r="D29" s="826"/>
      <c r="E29" s="760">
        <f t="shared" si="1"/>
        <v>657.21</v>
      </c>
      <c r="F29" s="823"/>
      <c r="G29" s="823"/>
      <c r="H29" s="823">
        <f t="shared" si="0"/>
        <v>334.21</v>
      </c>
      <c r="I29" s="823"/>
      <c r="J29" s="823">
        <v>334.21</v>
      </c>
      <c r="K29" s="823"/>
      <c r="L29" s="823">
        <f>50+273</f>
        <v>323</v>
      </c>
      <c r="M29" s="823"/>
      <c r="N29" s="823"/>
      <c r="O29" s="78" t="s">
        <v>429</v>
      </c>
      <c r="P29" s="55"/>
    </row>
    <row r="30" spans="1:16" s="821" customFormat="1" ht="18" customHeight="1">
      <c r="A30" s="822"/>
      <c r="B30" s="81"/>
      <c r="C30" s="709"/>
      <c r="D30" s="826"/>
      <c r="E30" s="760">
        <f t="shared" si="1"/>
        <v>314.39</v>
      </c>
      <c r="F30" s="823"/>
      <c r="G30" s="823"/>
      <c r="H30" s="823">
        <f t="shared" si="0"/>
        <v>164.79</v>
      </c>
      <c r="I30" s="823"/>
      <c r="J30" s="823">
        <v>164.79</v>
      </c>
      <c r="K30" s="823"/>
      <c r="L30" s="823">
        <f>24.6+125</f>
        <v>149.6</v>
      </c>
      <c r="M30" s="823"/>
      <c r="N30" s="823"/>
      <c r="O30" s="78" t="s">
        <v>431</v>
      </c>
      <c r="P30" s="55"/>
    </row>
    <row r="31" spans="1:16" s="821" customFormat="1" ht="18" customHeight="1">
      <c r="A31" s="822"/>
      <c r="B31" s="81"/>
      <c r="C31" s="709">
        <v>2023</v>
      </c>
      <c r="D31" s="826"/>
      <c r="E31" s="760">
        <f>E32+E33</f>
        <v>569.15</v>
      </c>
      <c r="F31" s="760">
        <f>F32+F33</f>
        <v>0</v>
      </c>
      <c r="G31" s="760">
        <f>G32+G33</f>
        <v>0</v>
      </c>
      <c r="H31" s="760">
        <f>H32+H33</f>
        <v>504</v>
      </c>
      <c r="I31" s="760">
        <f>I32+I33</f>
        <v>0</v>
      </c>
      <c r="J31" s="760">
        <f>J32+J33</f>
        <v>504</v>
      </c>
      <c r="K31" s="760">
        <f>K32+K33</f>
        <v>0</v>
      </c>
      <c r="L31" s="760">
        <f>L32+L33</f>
        <v>65.15</v>
      </c>
      <c r="M31" s="760">
        <f>M32+M33</f>
        <v>0</v>
      </c>
      <c r="N31" s="760">
        <f>N32+N33</f>
        <v>0</v>
      </c>
      <c r="O31" s="52"/>
      <c r="P31" s="55"/>
    </row>
    <row r="32" spans="1:16" s="821" customFormat="1" ht="18" customHeight="1">
      <c r="A32" s="822"/>
      <c r="B32" s="81"/>
      <c r="C32" s="709"/>
      <c r="D32" s="826"/>
      <c r="E32" s="760">
        <f aca="true" t="shared" si="2" ref="E32:E33">G32+H32+L32+N32</f>
        <v>377.85999999999996</v>
      </c>
      <c r="F32" s="823"/>
      <c r="G32" s="823"/>
      <c r="H32" s="823">
        <f aca="true" t="shared" si="3" ref="H32:H33">I32+J32</f>
        <v>334.21</v>
      </c>
      <c r="I32" s="823"/>
      <c r="J32" s="823">
        <v>334.21</v>
      </c>
      <c r="K32" s="823"/>
      <c r="L32" s="823">
        <v>43.65</v>
      </c>
      <c r="M32" s="823"/>
      <c r="N32" s="823"/>
      <c r="O32" s="78" t="s">
        <v>429</v>
      </c>
      <c r="P32" s="55"/>
    </row>
    <row r="33" spans="1:16" s="821" customFormat="1" ht="18" customHeight="1">
      <c r="A33" s="822"/>
      <c r="B33" s="81"/>
      <c r="C33" s="709"/>
      <c r="D33" s="826"/>
      <c r="E33" s="760">
        <f t="shared" si="2"/>
        <v>191.29</v>
      </c>
      <c r="F33" s="823"/>
      <c r="G33" s="823"/>
      <c r="H33" s="823">
        <f t="shared" si="3"/>
        <v>169.79</v>
      </c>
      <c r="I33" s="823"/>
      <c r="J33" s="823">
        <v>169.79</v>
      </c>
      <c r="K33" s="823"/>
      <c r="L33" s="823">
        <v>21.5</v>
      </c>
      <c r="M33" s="823"/>
      <c r="N33" s="823"/>
      <c r="O33" s="78" t="s">
        <v>431</v>
      </c>
      <c r="P33" s="55"/>
    </row>
    <row r="34" spans="1:16" s="821" customFormat="1" ht="18" customHeight="1">
      <c r="A34" s="822"/>
      <c r="B34" s="81"/>
      <c r="C34" s="709">
        <v>2024</v>
      </c>
      <c r="D34" s="826"/>
      <c r="E34" s="760">
        <f>E35+E36</f>
        <v>569.15</v>
      </c>
      <c r="F34" s="760">
        <f>F35+F36</f>
        <v>0</v>
      </c>
      <c r="G34" s="760">
        <f>G35+G36</f>
        <v>0</v>
      </c>
      <c r="H34" s="760">
        <f>H35+H36</f>
        <v>504</v>
      </c>
      <c r="I34" s="760">
        <f>I35+I36</f>
        <v>0</v>
      </c>
      <c r="J34" s="760">
        <f>J35+J36</f>
        <v>504</v>
      </c>
      <c r="K34" s="760">
        <f>K35+K36</f>
        <v>0</v>
      </c>
      <c r="L34" s="760">
        <f>L35+L36</f>
        <v>65.15</v>
      </c>
      <c r="M34" s="760">
        <f>M35+M36</f>
        <v>0</v>
      </c>
      <c r="N34" s="760">
        <f>N35+N36</f>
        <v>0</v>
      </c>
      <c r="O34" s="52"/>
      <c r="P34" s="55"/>
    </row>
    <row r="35" spans="1:16" s="821" customFormat="1" ht="18" customHeight="1">
      <c r="A35" s="822"/>
      <c r="B35" s="81"/>
      <c r="C35" s="709"/>
      <c r="D35" s="826"/>
      <c r="E35" s="760">
        <f aca="true" t="shared" si="4" ref="E35:E50">G35+H35+L35+N35</f>
        <v>377.85999999999996</v>
      </c>
      <c r="F35" s="823"/>
      <c r="G35" s="823"/>
      <c r="H35" s="823">
        <f aca="true" t="shared" si="5" ref="H35:H46">I35+J35</f>
        <v>334.21</v>
      </c>
      <c r="I35" s="823"/>
      <c r="J35" s="823">
        <v>334.21</v>
      </c>
      <c r="K35" s="823"/>
      <c r="L35" s="823">
        <f>43.65</f>
        <v>43.65</v>
      </c>
      <c r="M35" s="823"/>
      <c r="N35" s="823"/>
      <c r="O35" s="78" t="s">
        <v>429</v>
      </c>
      <c r="P35" s="55"/>
    </row>
    <row r="36" spans="1:16" s="821" customFormat="1" ht="18" customHeight="1">
      <c r="A36" s="822"/>
      <c r="B36" s="81"/>
      <c r="C36" s="709"/>
      <c r="D36" s="826"/>
      <c r="E36" s="760">
        <f t="shared" si="4"/>
        <v>191.29</v>
      </c>
      <c r="F36" s="823"/>
      <c r="G36" s="823"/>
      <c r="H36" s="823">
        <f t="shared" si="5"/>
        <v>169.79</v>
      </c>
      <c r="I36" s="823"/>
      <c r="J36" s="823">
        <v>169.79</v>
      </c>
      <c r="K36" s="823"/>
      <c r="L36" s="823">
        <v>21.5</v>
      </c>
      <c r="M36" s="823"/>
      <c r="N36" s="823"/>
      <c r="O36" s="78" t="s">
        <v>431</v>
      </c>
      <c r="P36" s="55"/>
    </row>
    <row r="37" spans="1:16" s="821" customFormat="1" ht="17.25" customHeight="1">
      <c r="A37" s="822" t="s">
        <v>65</v>
      </c>
      <c r="B37" s="81" t="s">
        <v>434</v>
      </c>
      <c r="C37" s="709">
        <v>2017</v>
      </c>
      <c r="D37" s="709"/>
      <c r="E37" s="760">
        <f t="shared" si="4"/>
        <v>642</v>
      </c>
      <c r="F37" s="760"/>
      <c r="G37" s="760"/>
      <c r="H37" s="823">
        <f t="shared" si="5"/>
        <v>642</v>
      </c>
      <c r="I37" s="760"/>
      <c r="J37" s="823">
        <v>642</v>
      </c>
      <c r="K37" s="823"/>
      <c r="L37" s="823"/>
      <c r="M37" s="823"/>
      <c r="N37" s="823"/>
      <c r="O37" s="78" t="s">
        <v>433</v>
      </c>
      <c r="P37" s="26" t="s">
        <v>435</v>
      </c>
    </row>
    <row r="38" spans="1:16" s="821" customFormat="1" ht="17.25" customHeight="1">
      <c r="A38" s="822"/>
      <c r="B38" s="81"/>
      <c r="C38" s="709">
        <v>2018</v>
      </c>
      <c r="D38" s="824"/>
      <c r="E38" s="760">
        <f t="shared" si="4"/>
        <v>642</v>
      </c>
      <c r="F38" s="823"/>
      <c r="G38" s="823"/>
      <c r="H38" s="823">
        <f t="shared" si="5"/>
        <v>642</v>
      </c>
      <c r="I38" s="823"/>
      <c r="J38" s="823">
        <v>642</v>
      </c>
      <c r="K38" s="823"/>
      <c r="L38" s="823"/>
      <c r="M38" s="823"/>
      <c r="N38" s="823"/>
      <c r="O38" s="78"/>
      <c r="P38" s="26"/>
    </row>
    <row r="39" spans="1:16" s="821" customFormat="1" ht="17.25" customHeight="1">
      <c r="A39" s="822"/>
      <c r="B39" s="81"/>
      <c r="C39" s="709">
        <v>2019</v>
      </c>
      <c r="D39" s="824"/>
      <c r="E39" s="760">
        <f t="shared" si="4"/>
        <v>717.081</v>
      </c>
      <c r="F39" s="760"/>
      <c r="G39" s="823"/>
      <c r="H39" s="823">
        <f t="shared" si="5"/>
        <v>717.081</v>
      </c>
      <c r="I39" s="823"/>
      <c r="J39" s="823">
        <v>717.081</v>
      </c>
      <c r="K39" s="823"/>
      <c r="L39" s="823"/>
      <c r="M39" s="823"/>
      <c r="N39" s="823"/>
      <c r="O39" s="78"/>
      <c r="P39" s="26"/>
    </row>
    <row r="40" spans="1:16" s="821" customFormat="1" ht="17.25" customHeight="1">
      <c r="A40" s="822"/>
      <c r="B40" s="81"/>
      <c r="C40" s="759">
        <v>2020</v>
      </c>
      <c r="D40" s="830"/>
      <c r="E40" s="760">
        <f t="shared" si="4"/>
        <v>699</v>
      </c>
      <c r="F40" s="823"/>
      <c r="G40" s="823"/>
      <c r="H40" s="823">
        <f t="shared" si="5"/>
        <v>699</v>
      </c>
      <c r="I40" s="823"/>
      <c r="J40" s="823">
        <f>800-101</f>
        <v>699</v>
      </c>
      <c r="K40" s="823"/>
      <c r="L40" s="823"/>
      <c r="M40" s="823"/>
      <c r="N40" s="823"/>
      <c r="O40" s="78"/>
      <c r="P40" s="26"/>
    </row>
    <row r="41" spans="1:16" s="821" customFormat="1" ht="17.25" customHeight="1">
      <c r="A41" s="822"/>
      <c r="B41" s="81"/>
      <c r="C41" s="759">
        <v>2021</v>
      </c>
      <c r="D41" s="830"/>
      <c r="E41" s="760">
        <f t="shared" si="4"/>
        <v>875.9</v>
      </c>
      <c r="F41" s="823"/>
      <c r="G41" s="823"/>
      <c r="H41" s="823">
        <f t="shared" si="5"/>
        <v>762</v>
      </c>
      <c r="I41" s="823"/>
      <c r="J41" s="823">
        <v>762</v>
      </c>
      <c r="K41" s="823"/>
      <c r="L41" s="823">
        <v>113.9</v>
      </c>
      <c r="M41" s="823"/>
      <c r="N41" s="823"/>
      <c r="O41" s="78"/>
      <c r="P41" s="26"/>
    </row>
    <row r="42" spans="1:16" s="821" customFormat="1" ht="17.25" customHeight="1">
      <c r="A42" s="822"/>
      <c r="B42" s="81"/>
      <c r="C42" s="759">
        <v>2022</v>
      </c>
      <c r="D42" s="830"/>
      <c r="E42" s="760">
        <f t="shared" si="4"/>
        <v>875.9</v>
      </c>
      <c r="F42" s="823"/>
      <c r="G42" s="823"/>
      <c r="H42" s="823">
        <f t="shared" si="5"/>
        <v>762</v>
      </c>
      <c r="I42" s="823"/>
      <c r="J42" s="823">
        <v>762</v>
      </c>
      <c r="K42" s="823"/>
      <c r="L42" s="823">
        <v>113.9</v>
      </c>
      <c r="M42" s="823"/>
      <c r="N42" s="823"/>
      <c r="O42" s="78"/>
      <c r="P42" s="26"/>
    </row>
    <row r="43" spans="1:16" s="821" customFormat="1" ht="36" customHeight="1">
      <c r="A43" s="822"/>
      <c r="B43" s="81"/>
      <c r="C43" s="759">
        <v>2023</v>
      </c>
      <c r="D43" s="830"/>
      <c r="E43" s="760">
        <f t="shared" si="4"/>
        <v>875.9</v>
      </c>
      <c r="F43" s="823"/>
      <c r="G43" s="823"/>
      <c r="H43" s="823">
        <f t="shared" si="5"/>
        <v>762</v>
      </c>
      <c r="I43" s="823"/>
      <c r="J43" s="823">
        <v>762</v>
      </c>
      <c r="K43" s="823"/>
      <c r="L43" s="823">
        <v>113.9</v>
      </c>
      <c r="M43" s="823"/>
      <c r="N43" s="823"/>
      <c r="O43" s="78"/>
      <c r="P43" s="26"/>
    </row>
    <row r="44" spans="1:16" s="821" customFormat="1" ht="31.5" customHeight="1">
      <c r="A44" s="822"/>
      <c r="B44" s="81"/>
      <c r="C44" s="759">
        <v>2024</v>
      </c>
      <c r="D44" s="830"/>
      <c r="E44" s="760">
        <f t="shared" si="4"/>
        <v>875.9</v>
      </c>
      <c r="F44" s="823"/>
      <c r="G44" s="823"/>
      <c r="H44" s="823">
        <f t="shared" si="5"/>
        <v>762</v>
      </c>
      <c r="I44" s="823"/>
      <c r="J44" s="823">
        <v>762</v>
      </c>
      <c r="K44" s="823"/>
      <c r="L44" s="823">
        <v>113.9</v>
      </c>
      <c r="M44" s="823"/>
      <c r="N44" s="823"/>
      <c r="O44" s="78"/>
      <c r="P44" s="26"/>
    </row>
    <row r="45" spans="1:16" s="821" customFormat="1" ht="17.25" customHeight="1">
      <c r="A45" s="831" t="s">
        <v>160</v>
      </c>
      <c r="B45" s="831"/>
      <c r="C45" s="709">
        <v>2017</v>
      </c>
      <c r="D45" s="709"/>
      <c r="E45" s="760">
        <f t="shared" si="4"/>
        <v>1463.482</v>
      </c>
      <c r="F45" s="760"/>
      <c r="G45" s="760"/>
      <c r="H45" s="760">
        <f t="shared" si="5"/>
        <v>997</v>
      </c>
      <c r="I45" s="760"/>
      <c r="J45" s="760">
        <f>J13+J37</f>
        <v>997</v>
      </c>
      <c r="K45" s="823"/>
      <c r="L45" s="760">
        <f>L13+L37</f>
        <v>341.482</v>
      </c>
      <c r="M45" s="823"/>
      <c r="N45" s="760">
        <f>N13+N37</f>
        <v>125</v>
      </c>
      <c r="O45" s="78"/>
      <c r="P45" s="706"/>
    </row>
    <row r="46" spans="1:16" s="821" customFormat="1" ht="16.5" customHeight="1">
      <c r="A46" s="831"/>
      <c r="B46" s="831"/>
      <c r="C46" s="709">
        <v>2018</v>
      </c>
      <c r="D46" s="709"/>
      <c r="E46" s="760">
        <f t="shared" si="4"/>
        <v>1578.281</v>
      </c>
      <c r="F46" s="760"/>
      <c r="G46" s="760"/>
      <c r="H46" s="760">
        <f t="shared" si="5"/>
        <v>1015</v>
      </c>
      <c r="I46" s="760"/>
      <c r="J46" s="760">
        <f>J16+J17+J38</f>
        <v>1015</v>
      </c>
      <c r="K46" s="823"/>
      <c r="L46" s="760">
        <f>L16+L17+L38</f>
        <v>360.281</v>
      </c>
      <c r="M46" s="823"/>
      <c r="N46" s="760">
        <f>N16+N17+N38</f>
        <v>203</v>
      </c>
      <c r="O46" s="78"/>
      <c r="P46" s="706"/>
    </row>
    <row r="47" spans="1:16" s="821" customFormat="1" ht="18" customHeight="1">
      <c r="A47" s="831"/>
      <c r="B47" s="831"/>
      <c r="C47" s="709">
        <v>2019</v>
      </c>
      <c r="D47" s="709"/>
      <c r="E47" s="760">
        <f t="shared" si="4"/>
        <v>1599.8380000000002</v>
      </c>
      <c r="F47" s="760">
        <f>F19+F39</f>
        <v>0</v>
      </c>
      <c r="G47" s="760">
        <f>G19+G39</f>
        <v>0</v>
      </c>
      <c r="H47" s="760">
        <f>H19+H39</f>
        <v>1097.0810000000001</v>
      </c>
      <c r="I47" s="760">
        <f>I19+I39</f>
        <v>0</v>
      </c>
      <c r="J47" s="760">
        <f>J19+J39</f>
        <v>1097.0810000000001</v>
      </c>
      <c r="K47" s="760">
        <f>K19+K39</f>
        <v>0</v>
      </c>
      <c r="L47" s="760">
        <f>L19+L39</f>
        <v>377.757</v>
      </c>
      <c r="M47" s="760">
        <f>M19+M39</f>
        <v>0</v>
      </c>
      <c r="N47" s="760">
        <f>N19+N39</f>
        <v>125</v>
      </c>
      <c r="O47" s="78"/>
      <c r="P47" s="706"/>
    </row>
    <row r="48" spans="1:16" s="821" customFormat="1" ht="18" customHeight="1">
      <c r="A48" s="831"/>
      <c r="B48" s="831"/>
      <c r="C48" s="709">
        <v>2020</v>
      </c>
      <c r="D48" s="709"/>
      <c r="E48" s="760">
        <f t="shared" si="4"/>
        <v>1308.6999999999998</v>
      </c>
      <c r="F48" s="760">
        <f>F22+F40</f>
        <v>0</v>
      </c>
      <c r="G48" s="760">
        <f>G22+G40</f>
        <v>0</v>
      </c>
      <c r="H48" s="760">
        <f>H22+H40</f>
        <v>1135.1</v>
      </c>
      <c r="I48" s="760">
        <f>I22+I40</f>
        <v>0</v>
      </c>
      <c r="J48" s="760">
        <f>J22+J40</f>
        <v>1135.1</v>
      </c>
      <c r="K48" s="760">
        <f>K22+K40</f>
        <v>0</v>
      </c>
      <c r="L48" s="760">
        <f>L22+L40</f>
        <v>173.60000000000002</v>
      </c>
      <c r="M48" s="760">
        <f>M22+M40</f>
        <v>0</v>
      </c>
      <c r="N48" s="760">
        <f>N22+N40</f>
        <v>0</v>
      </c>
      <c r="O48" s="78"/>
      <c r="P48" s="706"/>
    </row>
    <row r="49" spans="1:16" s="821" customFormat="1" ht="18" customHeight="1">
      <c r="A49" s="831"/>
      <c r="B49" s="831"/>
      <c r="C49" s="709">
        <v>2021</v>
      </c>
      <c r="D49" s="709"/>
      <c r="E49" s="760">
        <f t="shared" si="4"/>
        <v>2056.2725</v>
      </c>
      <c r="F49" s="760">
        <f>F25+F41</f>
        <v>0</v>
      </c>
      <c r="G49" s="760">
        <f>G25+G41</f>
        <v>0</v>
      </c>
      <c r="H49" s="760">
        <f>H25+H41</f>
        <v>1461.53</v>
      </c>
      <c r="I49" s="760">
        <f>I25+I41</f>
        <v>0</v>
      </c>
      <c r="J49" s="760">
        <f>J25+J41</f>
        <v>1461.53</v>
      </c>
      <c r="K49" s="760">
        <f>K25+K41</f>
        <v>0</v>
      </c>
      <c r="L49" s="760">
        <f>L25+L41</f>
        <v>594.7425</v>
      </c>
      <c r="M49" s="760">
        <f>M25+M41</f>
        <v>0</v>
      </c>
      <c r="N49" s="760">
        <v>0</v>
      </c>
      <c r="O49" s="78"/>
      <c r="P49" s="706"/>
    </row>
    <row r="50" spans="1:16" s="821" customFormat="1" ht="21.75" customHeight="1">
      <c r="A50" s="831"/>
      <c r="B50" s="831"/>
      <c r="C50" s="709">
        <v>2022</v>
      </c>
      <c r="D50" s="709"/>
      <c r="E50" s="760">
        <f t="shared" si="4"/>
        <v>1847.5</v>
      </c>
      <c r="F50" s="760">
        <f>F28+F42</f>
        <v>0</v>
      </c>
      <c r="G50" s="760">
        <f>G28+G42</f>
        <v>0</v>
      </c>
      <c r="H50" s="760">
        <f>H28+H42</f>
        <v>1261</v>
      </c>
      <c r="I50" s="760">
        <f>I28+I42</f>
        <v>0</v>
      </c>
      <c r="J50" s="760">
        <f>J28+J42</f>
        <v>1261</v>
      </c>
      <c r="K50" s="760">
        <f>K28+K42</f>
        <v>0</v>
      </c>
      <c r="L50" s="760">
        <f>L28+L42</f>
        <v>586.5</v>
      </c>
      <c r="M50" s="760">
        <f>M28+M42</f>
        <v>0</v>
      </c>
      <c r="N50" s="760">
        <v>0</v>
      </c>
      <c r="O50" s="78"/>
      <c r="P50" s="706"/>
    </row>
    <row r="51" spans="1:16" s="821" customFormat="1" ht="21.75" customHeight="1">
      <c r="A51" s="831"/>
      <c r="B51" s="831"/>
      <c r="C51" s="709">
        <v>2023</v>
      </c>
      <c r="D51" s="709"/>
      <c r="E51" s="760">
        <f>E32+E33+E43</f>
        <v>1445.05</v>
      </c>
      <c r="F51" s="760">
        <f aca="true" t="shared" si="6" ref="F51:F52">F32+F33+F43</f>
        <v>0</v>
      </c>
      <c r="G51" s="760">
        <f aca="true" t="shared" si="7" ref="G51:G52">G32+G33+G43</f>
        <v>0</v>
      </c>
      <c r="H51" s="760">
        <f>H32+H33+H43</f>
        <v>1266</v>
      </c>
      <c r="I51" s="760">
        <f>I32+I33+I43</f>
        <v>0</v>
      </c>
      <c r="J51" s="760">
        <f>J32+J33+J43</f>
        <v>1266</v>
      </c>
      <c r="K51" s="760">
        <f>K32+K33+K43</f>
        <v>0</v>
      </c>
      <c r="L51" s="760">
        <f>L32+L33+L43</f>
        <v>179.05</v>
      </c>
      <c r="M51" s="760">
        <f aca="true" t="shared" si="8" ref="M51:M52">M32+M33+M43</f>
        <v>0</v>
      </c>
      <c r="N51" s="760">
        <f aca="true" t="shared" si="9" ref="N51:N52">N32+N33+N43</f>
        <v>0</v>
      </c>
      <c r="O51" s="78"/>
      <c r="P51" s="706"/>
    </row>
    <row r="52" spans="1:16" s="821" customFormat="1" ht="21.75" customHeight="1">
      <c r="A52" s="831"/>
      <c r="B52" s="831"/>
      <c r="C52" s="709">
        <v>2024</v>
      </c>
      <c r="D52" s="709"/>
      <c r="E52" s="760">
        <f>E35+E36+E44</f>
        <v>1445.05</v>
      </c>
      <c r="F52" s="760">
        <f t="shared" si="6"/>
        <v>0</v>
      </c>
      <c r="G52" s="760">
        <f t="shared" si="7"/>
        <v>0</v>
      </c>
      <c r="H52" s="760">
        <f>H35+H36+H44</f>
        <v>1266</v>
      </c>
      <c r="I52" s="760">
        <f>I35+I36+I44</f>
        <v>0</v>
      </c>
      <c r="J52" s="760">
        <f>J35+J36+J44</f>
        <v>1266</v>
      </c>
      <c r="K52" s="760">
        <f>K35+K36+K44</f>
        <v>0</v>
      </c>
      <c r="L52" s="760">
        <f>L35+L36+L44</f>
        <v>179.05</v>
      </c>
      <c r="M52" s="760">
        <f t="shared" si="8"/>
        <v>0</v>
      </c>
      <c r="N52" s="760">
        <f t="shared" si="9"/>
        <v>0</v>
      </c>
      <c r="O52" s="78"/>
      <c r="P52" s="706"/>
    </row>
    <row r="53" spans="1:16" s="821" customFormat="1" ht="24" customHeight="1">
      <c r="A53" s="816" t="s">
        <v>436</v>
      </c>
      <c r="B53" s="816"/>
      <c r="C53" s="816"/>
      <c r="D53" s="816"/>
      <c r="E53" s="816"/>
      <c r="F53" s="816"/>
      <c r="G53" s="816"/>
      <c r="H53" s="816"/>
      <c r="I53" s="816"/>
      <c r="J53" s="816"/>
      <c r="K53" s="816"/>
      <c r="L53" s="816"/>
      <c r="M53" s="816"/>
      <c r="N53" s="816"/>
      <c r="O53" s="816"/>
      <c r="P53" s="740"/>
    </row>
    <row r="54" spans="1:16" s="821" customFormat="1" ht="17.25" customHeight="1">
      <c r="A54" s="832" t="s">
        <v>437</v>
      </c>
      <c r="B54" s="832"/>
      <c r="C54" s="832"/>
      <c r="D54" s="832"/>
      <c r="E54" s="832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740"/>
    </row>
    <row r="55" spans="1:16" s="821" customFormat="1" ht="18" customHeight="1">
      <c r="A55" s="832" t="s">
        <v>438</v>
      </c>
      <c r="B55" s="832"/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740"/>
    </row>
    <row r="56" spans="1:16" s="821" customFormat="1" ht="13.5" customHeight="1">
      <c r="A56" s="833" t="s">
        <v>165</v>
      </c>
      <c r="B56" s="81" t="s">
        <v>439</v>
      </c>
      <c r="C56" s="52">
        <v>2017</v>
      </c>
      <c r="D56" s="458"/>
      <c r="E56" s="834">
        <f>L56</f>
        <v>93.28</v>
      </c>
      <c r="F56" s="85"/>
      <c r="G56" s="81"/>
      <c r="H56" s="835">
        <f>I56+J56</f>
        <v>0</v>
      </c>
      <c r="I56" s="81"/>
      <c r="J56" s="458"/>
      <c r="K56" s="85"/>
      <c r="L56" s="836">
        <v>93.28</v>
      </c>
      <c r="M56" s="85"/>
      <c r="N56" s="81"/>
      <c r="O56" s="78" t="s">
        <v>440</v>
      </c>
      <c r="P56" s="55" t="s">
        <v>441</v>
      </c>
    </row>
    <row r="57" spans="1:16" s="821" customFormat="1" ht="7.5" customHeight="1">
      <c r="A57" s="833"/>
      <c r="B57" s="81"/>
      <c r="C57" s="52"/>
      <c r="D57" s="837"/>
      <c r="E57" s="834"/>
      <c r="F57" s="85"/>
      <c r="G57" s="81"/>
      <c r="H57" s="835"/>
      <c r="I57" s="81"/>
      <c r="J57" s="458"/>
      <c r="K57" s="85"/>
      <c r="L57" s="836"/>
      <c r="M57" s="85"/>
      <c r="N57" s="81"/>
      <c r="O57" s="78"/>
      <c r="P57" s="55"/>
    </row>
    <row r="58" spans="1:16" s="821" customFormat="1" ht="13.5" customHeight="1">
      <c r="A58" s="833"/>
      <c r="B58" s="81"/>
      <c r="C58" s="52">
        <v>2018</v>
      </c>
      <c r="D58" s="837"/>
      <c r="E58" s="834">
        <f>L58</f>
        <v>110.2</v>
      </c>
      <c r="F58" s="85"/>
      <c r="G58" s="81"/>
      <c r="H58" s="835">
        <f>I58+J58</f>
        <v>0</v>
      </c>
      <c r="I58" s="81"/>
      <c r="J58" s="458"/>
      <c r="K58" s="85"/>
      <c r="L58" s="836">
        <v>110.2</v>
      </c>
      <c r="M58" s="85"/>
      <c r="N58" s="81"/>
      <c r="O58" s="78"/>
      <c r="P58" s="55"/>
    </row>
    <row r="59" spans="1:16" s="821" customFormat="1" ht="9.75" customHeight="1">
      <c r="A59" s="833"/>
      <c r="B59" s="81"/>
      <c r="C59" s="52"/>
      <c r="D59" s="837"/>
      <c r="E59" s="834"/>
      <c r="F59" s="85"/>
      <c r="G59" s="81"/>
      <c r="H59" s="835"/>
      <c r="I59" s="81"/>
      <c r="J59" s="458"/>
      <c r="K59" s="85"/>
      <c r="L59" s="836"/>
      <c r="M59" s="85"/>
      <c r="N59" s="81"/>
      <c r="O59" s="78"/>
      <c r="P59" s="55"/>
    </row>
    <row r="60" spans="1:16" s="821" customFormat="1" ht="12" customHeight="1">
      <c r="A60" s="833"/>
      <c r="B60" s="81"/>
      <c r="C60" s="52">
        <v>2019</v>
      </c>
      <c r="D60" s="837"/>
      <c r="E60" s="834">
        <f>L60</f>
        <v>97.29</v>
      </c>
      <c r="F60" s="85"/>
      <c r="G60" s="81"/>
      <c r="H60" s="835">
        <f>I60+J60</f>
        <v>0</v>
      </c>
      <c r="I60" s="81"/>
      <c r="J60" s="458"/>
      <c r="K60" s="85"/>
      <c r="L60" s="836">
        <v>97.29</v>
      </c>
      <c r="M60" s="85"/>
      <c r="N60" s="81"/>
      <c r="O60" s="78"/>
      <c r="P60" s="55"/>
    </row>
    <row r="61" spans="1:16" s="821" customFormat="1" ht="15" customHeight="1">
      <c r="A61" s="833"/>
      <c r="B61" s="81"/>
      <c r="C61" s="52"/>
      <c r="D61" s="837"/>
      <c r="E61" s="834"/>
      <c r="F61" s="85"/>
      <c r="G61" s="81"/>
      <c r="H61" s="835"/>
      <c r="I61" s="81"/>
      <c r="J61" s="458"/>
      <c r="K61" s="85"/>
      <c r="L61" s="836"/>
      <c r="M61" s="85"/>
      <c r="N61" s="81"/>
      <c r="O61" s="78"/>
      <c r="P61" s="55"/>
    </row>
    <row r="62" spans="1:16" s="821" customFormat="1" ht="21" customHeight="1">
      <c r="A62" s="833"/>
      <c r="B62" s="81"/>
      <c r="C62" s="52">
        <v>2020</v>
      </c>
      <c r="D62" s="837"/>
      <c r="E62" s="834">
        <f aca="true" t="shared" si="10" ref="E62:E66">J62+L62+N62</f>
        <v>96</v>
      </c>
      <c r="F62" s="85"/>
      <c r="G62" s="85"/>
      <c r="H62" s="78">
        <f aca="true" t="shared" si="11" ref="H62:H65">I62+J62</f>
        <v>0</v>
      </c>
      <c r="I62" s="85"/>
      <c r="J62" s="458"/>
      <c r="K62" s="85"/>
      <c r="L62" s="836">
        <f>97.3-1.3</f>
        <v>96</v>
      </c>
      <c r="M62" s="85"/>
      <c r="N62" s="81"/>
      <c r="O62" s="78"/>
      <c r="P62" s="55"/>
    </row>
    <row r="63" spans="1:16" s="821" customFormat="1" ht="21.75" customHeight="1">
      <c r="A63" s="833"/>
      <c r="B63" s="81"/>
      <c r="C63" s="52">
        <v>2021</v>
      </c>
      <c r="D63" s="837"/>
      <c r="E63" s="834">
        <f t="shared" si="10"/>
        <v>96</v>
      </c>
      <c r="F63" s="85"/>
      <c r="G63" s="85"/>
      <c r="H63" s="830">
        <f t="shared" si="11"/>
        <v>0</v>
      </c>
      <c r="I63" s="85"/>
      <c r="J63" s="458"/>
      <c r="K63" s="85"/>
      <c r="L63" s="836">
        <v>96</v>
      </c>
      <c r="M63" s="85"/>
      <c r="N63" s="81"/>
      <c r="O63" s="78"/>
      <c r="P63" s="55"/>
    </row>
    <row r="64" spans="1:16" s="821" customFormat="1" ht="22.5" customHeight="1">
      <c r="A64" s="833"/>
      <c r="B64" s="81"/>
      <c r="C64" s="52">
        <v>2022</v>
      </c>
      <c r="D64" s="837"/>
      <c r="E64" s="834">
        <f t="shared" si="10"/>
        <v>97.3</v>
      </c>
      <c r="F64" s="85"/>
      <c r="G64" s="85"/>
      <c r="H64" s="78">
        <f t="shared" si="11"/>
        <v>0</v>
      </c>
      <c r="I64" s="85"/>
      <c r="J64" s="458"/>
      <c r="K64" s="85"/>
      <c r="L64" s="836">
        <v>97.3</v>
      </c>
      <c r="M64" s="85"/>
      <c r="N64" s="81"/>
      <c r="O64" s="78"/>
      <c r="P64" s="55"/>
    </row>
    <row r="65" spans="1:16" s="821" customFormat="1" ht="22.5" customHeight="1">
      <c r="A65" s="833"/>
      <c r="B65" s="81"/>
      <c r="C65" s="52">
        <v>2023</v>
      </c>
      <c r="D65" s="837"/>
      <c r="E65" s="834">
        <f t="shared" si="10"/>
        <v>0</v>
      </c>
      <c r="F65" s="85"/>
      <c r="G65" s="85"/>
      <c r="H65" s="78">
        <f t="shared" si="11"/>
        <v>0</v>
      </c>
      <c r="I65" s="85"/>
      <c r="J65" s="458"/>
      <c r="K65" s="85"/>
      <c r="L65" s="836">
        <v>0</v>
      </c>
      <c r="M65" s="85"/>
      <c r="N65" s="81"/>
      <c r="O65" s="78"/>
      <c r="P65" s="55"/>
    </row>
    <row r="66" spans="1:16" s="821" customFormat="1" ht="22.5" customHeight="1">
      <c r="A66" s="833"/>
      <c r="B66" s="81"/>
      <c r="C66" s="52">
        <v>2024</v>
      </c>
      <c r="D66" s="837"/>
      <c r="E66" s="834">
        <f t="shared" si="10"/>
        <v>0</v>
      </c>
      <c r="F66" s="85"/>
      <c r="G66" s="85"/>
      <c r="H66" s="78"/>
      <c r="I66" s="85"/>
      <c r="J66" s="458"/>
      <c r="K66" s="85"/>
      <c r="L66" s="836">
        <v>0</v>
      </c>
      <c r="M66" s="85"/>
      <c r="N66" s="81"/>
      <c r="O66" s="78"/>
      <c r="P66" s="55"/>
    </row>
    <row r="67" spans="1:16" s="821" customFormat="1" ht="24" customHeight="1">
      <c r="A67" s="833" t="s">
        <v>237</v>
      </c>
      <c r="B67" s="81" t="s">
        <v>442</v>
      </c>
      <c r="C67" s="52">
        <v>2017</v>
      </c>
      <c r="D67" s="52"/>
      <c r="E67" s="834">
        <f aca="true" t="shared" si="12" ref="E67:E75">J67+L67</f>
        <v>40</v>
      </c>
      <c r="F67" s="78"/>
      <c r="G67" s="78"/>
      <c r="H67" s="78">
        <f aca="true" t="shared" si="13" ref="H67:H76">I67+J67</f>
        <v>0</v>
      </c>
      <c r="I67" s="78"/>
      <c r="J67" s="836"/>
      <c r="K67" s="78"/>
      <c r="L67" s="836">
        <v>40</v>
      </c>
      <c r="M67" s="85"/>
      <c r="N67" s="81"/>
      <c r="O67" s="78" t="s">
        <v>443</v>
      </c>
      <c r="P67" s="706" t="s">
        <v>444</v>
      </c>
    </row>
    <row r="68" spans="1:16" s="821" customFormat="1" ht="34.5" customHeight="1">
      <c r="A68" s="833"/>
      <c r="B68" s="81"/>
      <c r="C68" s="52">
        <v>2018</v>
      </c>
      <c r="D68" s="52"/>
      <c r="E68" s="834">
        <f t="shared" si="12"/>
        <v>40</v>
      </c>
      <c r="F68" s="78"/>
      <c r="G68" s="78"/>
      <c r="H68" s="78">
        <f t="shared" si="13"/>
        <v>0</v>
      </c>
      <c r="I68" s="78"/>
      <c r="J68" s="838"/>
      <c r="K68" s="78"/>
      <c r="L68" s="836">
        <v>40</v>
      </c>
      <c r="M68" s="85"/>
      <c r="N68" s="85"/>
      <c r="O68" s="78"/>
      <c r="P68" s="706"/>
    </row>
    <row r="69" spans="1:16" s="821" customFormat="1" ht="60" customHeight="1">
      <c r="A69" s="833"/>
      <c r="B69" s="81"/>
      <c r="C69" s="52">
        <v>2019</v>
      </c>
      <c r="D69" s="52"/>
      <c r="E69" s="834">
        <f t="shared" si="12"/>
        <v>0</v>
      </c>
      <c r="F69" s="78"/>
      <c r="G69" s="78"/>
      <c r="H69" s="78">
        <f t="shared" si="13"/>
        <v>0</v>
      </c>
      <c r="I69" s="78"/>
      <c r="J69" s="838"/>
      <c r="K69" s="78"/>
      <c r="L69" s="836">
        <v>0</v>
      </c>
      <c r="M69" s="85"/>
      <c r="N69" s="85"/>
      <c r="O69" s="78"/>
      <c r="P69" s="706"/>
    </row>
    <row r="70" spans="1:16" s="821" customFormat="1" ht="26.25" customHeight="1">
      <c r="A70" s="833"/>
      <c r="B70" s="81"/>
      <c r="C70" s="52"/>
      <c r="D70" s="52"/>
      <c r="E70" s="834">
        <f t="shared" si="12"/>
        <v>52.2</v>
      </c>
      <c r="F70" s="78"/>
      <c r="G70" s="78"/>
      <c r="H70" s="78">
        <f t="shared" si="13"/>
        <v>0</v>
      </c>
      <c r="I70" s="78"/>
      <c r="J70" s="838">
        <v>0</v>
      </c>
      <c r="K70" s="78"/>
      <c r="L70" s="834">
        <f>40+12.2</f>
        <v>52.2</v>
      </c>
      <c r="M70" s="85"/>
      <c r="N70" s="85"/>
      <c r="O70" s="78"/>
      <c r="P70" s="706"/>
    </row>
    <row r="71" spans="1:16" s="821" customFormat="1" ht="48" customHeight="1">
      <c r="A71" s="833"/>
      <c r="B71" s="81"/>
      <c r="C71" s="837">
        <v>2020</v>
      </c>
      <c r="D71" s="52"/>
      <c r="E71" s="834">
        <f t="shared" si="12"/>
        <v>60</v>
      </c>
      <c r="F71" s="78"/>
      <c r="G71" s="78"/>
      <c r="H71" s="78">
        <f t="shared" si="13"/>
        <v>0</v>
      </c>
      <c r="I71" s="78"/>
      <c r="J71" s="838"/>
      <c r="K71" s="78"/>
      <c r="L71" s="836">
        <v>60</v>
      </c>
      <c r="M71" s="85"/>
      <c r="N71" s="85"/>
      <c r="O71" s="78"/>
      <c r="P71" s="706"/>
    </row>
    <row r="72" spans="1:16" s="821" customFormat="1" ht="22.5" customHeight="1">
      <c r="A72" s="833"/>
      <c r="B72" s="81"/>
      <c r="C72" s="52">
        <v>2020</v>
      </c>
      <c r="D72" s="52"/>
      <c r="E72" s="834">
        <f t="shared" si="12"/>
        <v>0</v>
      </c>
      <c r="F72" s="78"/>
      <c r="G72" s="78"/>
      <c r="H72" s="78">
        <f t="shared" si="13"/>
        <v>0</v>
      </c>
      <c r="I72" s="78"/>
      <c r="J72" s="838"/>
      <c r="K72" s="78"/>
      <c r="L72" s="834">
        <f>60-60</f>
        <v>0</v>
      </c>
      <c r="M72" s="81"/>
      <c r="N72" s="81"/>
      <c r="O72" s="78"/>
      <c r="P72" s="706"/>
    </row>
    <row r="73" spans="1:16" s="821" customFormat="1" ht="22.5" customHeight="1">
      <c r="A73" s="833"/>
      <c r="B73" s="81"/>
      <c r="C73" s="52">
        <v>2021</v>
      </c>
      <c r="D73" s="52"/>
      <c r="E73" s="834">
        <f t="shared" si="12"/>
        <v>0</v>
      </c>
      <c r="F73" s="78"/>
      <c r="G73" s="78"/>
      <c r="H73" s="78">
        <f t="shared" si="13"/>
        <v>0</v>
      </c>
      <c r="I73" s="78"/>
      <c r="J73" s="838">
        <v>0</v>
      </c>
      <c r="K73" s="78"/>
      <c r="L73" s="836">
        <v>0</v>
      </c>
      <c r="M73" s="85"/>
      <c r="N73" s="85"/>
      <c r="O73" s="78"/>
      <c r="P73" s="706"/>
    </row>
    <row r="74" spans="1:16" s="821" customFormat="1" ht="65.25" customHeight="1">
      <c r="A74" s="833"/>
      <c r="B74" s="81"/>
      <c r="C74" s="52">
        <v>2022</v>
      </c>
      <c r="D74" s="52"/>
      <c r="E74" s="834">
        <f t="shared" si="12"/>
        <v>0</v>
      </c>
      <c r="F74" s="78"/>
      <c r="G74" s="78"/>
      <c r="H74" s="78">
        <f t="shared" si="13"/>
        <v>0</v>
      </c>
      <c r="I74" s="78"/>
      <c r="J74" s="838">
        <v>0</v>
      </c>
      <c r="K74" s="78"/>
      <c r="L74" s="836">
        <v>0</v>
      </c>
      <c r="M74" s="85"/>
      <c r="N74" s="85"/>
      <c r="O74" s="78"/>
      <c r="P74" s="706"/>
    </row>
    <row r="75" spans="1:16" s="821" customFormat="1" ht="24.75" customHeight="1">
      <c r="A75" s="833"/>
      <c r="B75" s="81"/>
      <c r="C75" s="52">
        <v>2023</v>
      </c>
      <c r="D75" s="52"/>
      <c r="E75" s="834">
        <f t="shared" si="12"/>
        <v>0</v>
      </c>
      <c r="F75" s="78"/>
      <c r="G75" s="78"/>
      <c r="H75" s="78">
        <f t="shared" si="13"/>
        <v>0</v>
      </c>
      <c r="I75" s="78"/>
      <c r="J75" s="838"/>
      <c r="K75" s="78"/>
      <c r="L75" s="836">
        <v>0</v>
      </c>
      <c r="M75" s="85"/>
      <c r="N75" s="85"/>
      <c r="O75" s="78"/>
      <c r="P75" s="706"/>
    </row>
    <row r="76" spans="1:16" s="821" customFormat="1" ht="34.5" customHeight="1">
      <c r="A76" s="833" t="s">
        <v>250</v>
      </c>
      <c r="B76" s="81" t="s">
        <v>445</v>
      </c>
      <c r="C76" s="52">
        <v>2019</v>
      </c>
      <c r="D76" s="458"/>
      <c r="E76" s="834">
        <f>G76+H76+L76+N76</f>
        <v>0</v>
      </c>
      <c r="F76" s="834"/>
      <c r="G76" s="52"/>
      <c r="H76" s="834">
        <f t="shared" si="13"/>
        <v>0</v>
      </c>
      <c r="I76" s="52"/>
      <c r="J76" s="836">
        <v>0</v>
      </c>
      <c r="K76" s="836"/>
      <c r="L76" s="839">
        <v>0</v>
      </c>
      <c r="M76" s="840"/>
      <c r="N76" s="817"/>
      <c r="O76" s="85" t="s">
        <v>446</v>
      </c>
      <c r="P76" s="706"/>
    </row>
    <row r="77" spans="1:16" s="821" customFormat="1" ht="21.75" customHeight="1">
      <c r="A77" s="411" t="s">
        <v>447</v>
      </c>
      <c r="B77" s="411"/>
      <c r="C77" s="841">
        <v>2017</v>
      </c>
      <c r="D77" s="458"/>
      <c r="E77" s="760">
        <f aca="true" t="shared" si="14" ref="E77:E78">J77+L77+N77</f>
        <v>133.28</v>
      </c>
      <c r="F77" s="760"/>
      <c r="G77" s="760"/>
      <c r="H77" s="760">
        <f aca="true" t="shared" si="15" ref="H77:H79">H58+H68+H74</f>
        <v>0</v>
      </c>
      <c r="I77" s="760"/>
      <c r="J77" s="760"/>
      <c r="K77" s="842"/>
      <c r="L77" s="760">
        <f>L56+L67</f>
        <v>133.28</v>
      </c>
      <c r="M77" s="823"/>
      <c r="N77" s="760"/>
      <c r="O77" s="81"/>
      <c r="P77" s="706"/>
    </row>
    <row r="78" spans="1:16" s="821" customFormat="1" ht="22.5" customHeight="1">
      <c r="A78" s="411"/>
      <c r="B78" s="411"/>
      <c r="C78" s="843">
        <v>2018</v>
      </c>
      <c r="D78" s="52"/>
      <c r="E78" s="760">
        <f t="shared" si="14"/>
        <v>150.2</v>
      </c>
      <c r="F78" s="760"/>
      <c r="G78" s="760"/>
      <c r="H78" s="760">
        <f t="shared" si="15"/>
        <v>0</v>
      </c>
      <c r="I78" s="760"/>
      <c r="J78" s="760"/>
      <c r="K78" s="842"/>
      <c r="L78" s="760">
        <f>L58+L68</f>
        <v>150.2</v>
      </c>
      <c r="M78" s="823"/>
      <c r="N78" s="760"/>
      <c r="O78" s="81"/>
      <c r="P78" s="706"/>
    </row>
    <row r="79" spans="1:16" s="821" customFormat="1" ht="21" customHeight="1">
      <c r="A79" s="411"/>
      <c r="B79" s="411"/>
      <c r="C79" s="841">
        <v>2019</v>
      </c>
      <c r="D79" s="458"/>
      <c r="E79" s="760">
        <f>E60+E70+E76</f>
        <v>149.49</v>
      </c>
      <c r="F79" s="760">
        <f>F60+F70+F76</f>
        <v>0</v>
      </c>
      <c r="G79" s="760">
        <f>G60+G70+G76</f>
        <v>0</v>
      </c>
      <c r="H79" s="760">
        <f t="shared" si="15"/>
        <v>0</v>
      </c>
      <c r="I79" s="760">
        <f>I60+I70+I76</f>
        <v>0</v>
      </c>
      <c r="J79" s="760">
        <f>J60+J70+J76</f>
        <v>0</v>
      </c>
      <c r="K79" s="760">
        <f>K60+K70+K76</f>
        <v>0</v>
      </c>
      <c r="L79" s="760">
        <f>L60+L70+L76</f>
        <v>149.49</v>
      </c>
      <c r="M79" s="760">
        <f>M60+M70+M76</f>
        <v>0</v>
      </c>
      <c r="N79" s="760">
        <f>N60+N70+N76</f>
        <v>0</v>
      </c>
      <c r="O79" s="81"/>
      <c r="P79" s="706"/>
    </row>
    <row r="80" spans="1:16" s="821" customFormat="1" ht="21" customHeight="1">
      <c r="A80" s="411"/>
      <c r="B80" s="411"/>
      <c r="C80" s="841">
        <v>2020</v>
      </c>
      <c r="D80" s="458"/>
      <c r="E80" s="760">
        <f aca="true" t="shared" si="16" ref="E80:E84">E62+E72</f>
        <v>96</v>
      </c>
      <c r="F80" s="760">
        <f aca="true" t="shared" si="17" ref="F80:F83">F62+F72</f>
        <v>0</v>
      </c>
      <c r="G80" s="760">
        <f aca="true" t="shared" si="18" ref="G80:G83">G62+G72</f>
        <v>0</v>
      </c>
      <c r="H80" s="760">
        <f aca="true" t="shared" si="19" ref="H80:H83">H62+H72</f>
        <v>0</v>
      </c>
      <c r="I80" s="760">
        <f aca="true" t="shared" si="20" ref="I80:I83">I62+I72</f>
        <v>0</v>
      </c>
      <c r="J80" s="760">
        <f aca="true" t="shared" si="21" ref="J80:J83">J62+J72</f>
        <v>0</v>
      </c>
      <c r="K80" s="760">
        <f aca="true" t="shared" si="22" ref="K80:K83">K62+K72</f>
        <v>0</v>
      </c>
      <c r="L80" s="760">
        <f aca="true" t="shared" si="23" ref="L80:L84">L62+L72</f>
        <v>96</v>
      </c>
      <c r="M80" s="760">
        <f aca="true" t="shared" si="24" ref="M80:M83">M62+M72</f>
        <v>0</v>
      </c>
      <c r="N80" s="760">
        <f aca="true" t="shared" si="25" ref="N80:N83">N62+N72</f>
        <v>0</v>
      </c>
      <c r="O80" s="81"/>
      <c r="P80" s="706"/>
    </row>
    <row r="81" spans="1:16" s="821" customFormat="1" ht="21" customHeight="1">
      <c r="A81" s="411"/>
      <c r="B81" s="411"/>
      <c r="C81" s="841">
        <v>2021</v>
      </c>
      <c r="D81" s="458"/>
      <c r="E81" s="760">
        <f t="shared" si="16"/>
        <v>96</v>
      </c>
      <c r="F81" s="760">
        <f t="shared" si="17"/>
        <v>0</v>
      </c>
      <c r="G81" s="760">
        <f t="shared" si="18"/>
        <v>0</v>
      </c>
      <c r="H81" s="760">
        <f t="shared" si="19"/>
        <v>0</v>
      </c>
      <c r="I81" s="760">
        <f t="shared" si="20"/>
        <v>0</v>
      </c>
      <c r="J81" s="760">
        <f t="shared" si="21"/>
        <v>0</v>
      </c>
      <c r="K81" s="760">
        <f t="shared" si="22"/>
        <v>0</v>
      </c>
      <c r="L81" s="760">
        <f t="shared" si="23"/>
        <v>96</v>
      </c>
      <c r="M81" s="760">
        <f t="shared" si="24"/>
        <v>0</v>
      </c>
      <c r="N81" s="760">
        <f t="shared" si="25"/>
        <v>0</v>
      </c>
      <c r="O81" s="81"/>
      <c r="P81" s="706"/>
    </row>
    <row r="82" spans="1:16" s="821" customFormat="1" ht="22.5" customHeight="1">
      <c r="A82" s="411"/>
      <c r="B82" s="411"/>
      <c r="C82" s="841">
        <v>2022</v>
      </c>
      <c r="D82" s="458"/>
      <c r="E82" s="760">
        <f t="shared" si="16"/>
        <v>97.3</v>
      </c>
      <c r="F82" s="760">
        <f t="shared" si="17"/>
        <v>0</v>
      </c>
      <c r="G82" s="760">
        <f t="shared" si="18"/>
        <v>0</v>
      </c>
      <c r="H82" s="760">
        <f t="shared" si="19"/>
        <v>0</v>
      </c>
      <c r="I82" s="760">
        <f t="shared" si="20"/>
        <v>0</v>
      </c>
      <c r="J82" s="760">
        <f t="shared" si="21"/>
        <v>0</v>
      </c>
      <c r="K82" s="760">
        <f t="shared" si="22"/>
        <v>0</v>
      </c>
      <c r="L82" s="760">
        <f t="shared" si="23"/>
        <v>97.3</v>
      </c>
      <c r="M82" s="760">
        <f t="shared" si="24"/>
        <v>0</v>
      </c>
      <c r="N82" s="760">
        <f t="shared" si="25"/>
        <v>0</v>
      </c>
      <c r="O82" s="81"/>
      <c r="P82" s="706"/>
    </row>
    <row r="83" spans="1:16" s="821" customFormat="1" ht="22.5" customHeight="1">
      <c r="A83" s="411"/>
      <c r="B83" s="411"/>
      <c r="C83" s="841">
        <v>2023</v>
      </c>
      <c r="D83" s="458"/>
      <c r="E83" s="760">
        <f t="shared" si="16"/>
        <v>0</v>
      </c>
      <c r="F83" s="760">
        <f t="shared" si="17"/>
        <v>0</v>
      </c>
      <c r="G83" s="760">
        <f t="shared" si="18"/>
        <v>0</v>
      </c>
      <c r="H83" s="760">
        <f t="shared" si="19"/>
        <v>0</v>
      </c>
      <c r="I83" s="760">
        <f t="shared" si="20"/>
        <v>0</v>
      </c>
      <c r="J83" s="760">
        <f t="shared" si="21"/>
        <v>0</v>
      </c>
      <c r="K83" s="760">
        <f t="shared" si="22"/>
        <v>0</v>
      </c>
      <c r="L83" s="760">
        <f t="shared" si="23"/>
        <v>0</v>
      </c>
      <c r="M83" s="760">
        <f t="shared" si="24"/>
        <v>0</v>
      </c>
      <c r="N83" s="760">
        <f t="shared" si="25"/>
        <v>0</v>
      </c>
      <c r="O83" s="81"/>
      <c r="P83" s="706"/>
    </row>
    <row r="84" spans="1:16" s="821" customFormat="1" ht="22.5" customHeight="1">
      <c r="A84" s="411"/>
      <c r="B84" s="411"/>
      <c r="C84" s="841">
        <v>2024</v>
      </c>
      <c r="D84" s="458"/>
      <c r="E84" s="760">
        <f t="shared" si="16"/>
        <v>0</v>
      </c>
      <c r="F84" s="760">
        <f>F67+F76</f>
        <v>0</v>
      </c>
      <c r="G84" s="760">
        <f>G67+G76</f>
        <v>0</v>
      </c>
      <c r="H84" s="760">
        <f>H67+H76</f>
        <v>0</v>
      </c>
      <c r="I84" s="760">
        <f>I67+I76</f>
        <v>0</v>
      </c>
      <c r="J84" s="760">
        <f>J67+J76</f>
        <v>0</v>
      </c>
      <c r="K84" s="760">
        <f>K67+K76</f>
        <v>0</v>
      </c>
      <c r="L84" s="760">
        <f t="shared" si="23"/>
        <v>0</v>
      </c>
      <c r="M84" s="760">
        <f>M67+M76</f>
        <v>0</v>
      </c>
      <c r="N84" s="760">
        <f>N67+N76</f>
        <v>0</v>
      </c>
      <c r="O84" s="81"/>
      <c r="P84" s="706"/>
    </row>
    <row r="85" spans="1:16" s="821" customFormat="1" ht="19.5" customHeight="1">
      <c r="A85" s="819" t="s">
        <v>448</v>
      </c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</row>
    <row r="86" spans="1:16" s="821" customFormat="1" ht="19.5" customHeight="1">
      <c r="A86" s="820" t="s">
        <v>449</v>
      </c>
      <c r="B86" s="820"/>
      <c r="C86" s="820"/>
      <c r="D86" s="820"/>
      <c r="E86" s="820"/>
      <c r="F86" s="820"/>
      <c r="G86" s="820"/>
      <c r="H86" s="820"/>
      <c r="I86" s="820"/>
      <c r="J86" s="820"/>
      <c r="K86" s="820"/>
      <c r="L86" s="820"/>
      <c r="M86" s="820"/>
      <c r="N86" s="820"/>
      <c r="O86" s="820"/>
      <c r="P86" s="820"/>
    </row>
    <row r="87" spans="1:16" s="821" customFormat="1" ht="19.5" customHeight="1">
      <c r="A87" s="820" t="s">
        <v>450</v>
      </c>
      <c r="B87" s="820"/>
      <c r="C87" s="820"/>
      <c r="D87" s="820"/>
      <c r="E87" s="820"/>
      <c r="F87" s="820"/>
      <c r="G87" s="820"/>
      <c r="H87" s="820"/>
      <c r="I87" s="820"/>
      <c r="J87" s="820"/>
      <c r="K87" s="820"/>
      <c r="L87" s="820"/>
      <c r="M87" s="820"/>
      <c r="N87" s="820"/>
      <c r="O87" s="820"/>
      <c r="P87" s="820"/>
    </row>
    <row r="88" spans="1:16" s="821" customFormat="1" ht="19.5" customHeight="1">
      <c r="A88" s="833" t="s">
        <v>303</v>
      </c>
      <c r="B88" s="81" t="s">
        <v>451</v>
      </c>
      <c r="C88" s="458">
        <v>2017</v>
      </c>
      <c r="D88" s="458"/>
      <c r="E88" s="730">
        <f>J88+L88+N88</f>
        <v>3256.791</v>
      </c>
      <c r="F88" s="730"/>
      <c r="G88" s="730"/>
      <c r="H88" s="730">
        <f>I88+J88</f>
        <v>0</v>
      </c>
      <c r="I88" s="730"/>
      <c r="J88" s="735">
        <v>0</v>
      </c>
      <c r="K88" s="81"/>
      <c r="L88" s="711">
        <v>3256.791</v>
      </c>
      <c r="M88" s="711"/>
      <c r="N88" s="737">
        <v>0</v>
      </c>
      <c r="O88" s="357" t="s">
        <v>432</v>
      </c>
      <c r="P88" s="55" t="s">
        <v>452</v>
      </c>
    </row>
    <row r="89" spans="1:16" s="821" customFormat="1" ht="0" customHeight="1" hidden="1">
      <c r="A89" s="833"/>
      <c r="B89" s="81"/>
      <c r="C89" s="458"/>
      <c r="D89" s="458"/>
      <c r="E89" s="730"/>
      <c r="F89" s="730"/>
      <c r="G89" s="730"/>
      <c r="H89" s="730"/>
      <c r="I89" s="730"/>
      <c r="J89" s="735"/>
      <c r="K89" s="458"/>
      <c r="L89" s="711"/>
      <c r="M89" s="711"/>
      <c r="N89" s="737"/>
      <c r="O89" s="357"/>
      <c r="P89" s="55"/>
    </row>
    <row r="90" spans="1:16" s="821" customFormat="1" ht="16.5" customHeight="1">
      <c r="A90" s="833"/>
      <c r="B90" s="81"/>
      <c r="C90" s="458"/>
      <c r="D90" s="458"/>
      <c r="E90" s="730"/>
      <c r="F90" s="730"/>
      <c r="G90" s="730"/>
      <c r="H90" s="730"/>
      <c r="I90" s="730"/>
      <c r="J90" s="735"/>
      <c r="K90" s="735"/>
      <c r="L90" s="711"/>
      <c r="M90" s="711"/>
      <c r="N90" s="737"/>
      <c r="O90" s="357"/>
      <c r="P90" s="55"/>
    </row>
    <row r="91" spans="1:16" s="821" customFormat="1" ht="19.5" customHeight="1">
      <c r="A91" s="833"/>
      <c r="B91" s="81"/>
      <c r="C91" s="458">
        <v>2018</v>
      </c>
      <c r="D91" s="458"/>
      <c r="E91" s="730">
        <f aca="true" t="shared" si="26" ref="E91:E121">J91+L91+N91</f>
        <v>3070.76057</v>
      </c>
      <c r="F91" s="730"/>
      <c r="G91" s="733"/>
      <c r="H91" s="730">
        <f aca="true" t="shared" si="27" ref="H91:H123">I91+J91</f>
        <v>0</v>
      </c>
      <c r="I91" s="733"/>
      <c r="J91" s="735">
        <v>0</v>
      </c>
      <c r="K91" s="735"/>
      <c r="L91" s="711">
        <f>3553.319-482.55843</f>
        <v>3070.76057</v>
      </c>
      <c r="M91" s="711"/>
      <c r="N91" s="737">
        <v>0</v>
      </c>
      <c r="O91" s="717" t="s">
        <v>432</v>
      </c>
      <c r="P91" s="55"/>
    </row>
    <row r="92" spans="1:16" s="821" customFormat="1" ht="19.5" customHeight="1">
      <c r="A92" s="833"/>
      <c r="B92" s="81"/>
      <c r="C92" s="458">
        <v>2019</v>
      </c>
      <c r="D92" s="458"/>
      <c r="E92" s="730">
        <f t="shared" si="26"/>
        <v>2637.4877</v>
      </c>
      <c r="F92" s="730"/>
      <c r="G92" s="733"/>
      <c r="H92" s="730">
        <f t="shared" si="27"/>
        <v>0</v>
      </c>
      <c r="I92" s="733"/>
      <c r="J92" s="735">
        <v>0</v>
      </c>
      <c r="K92" s="735"/>
      <c r="L92" s="711">
        <v>2637.4877</v>
      </c>
      <c r="M92" s="711"/>
      <c r="N92" s="737">
        <v>0</v>
      </c>
      <c r="O92" s="717" t="s">
        <v>432</v>
      </c>
      <c r="P92" s="55"/>
    </row>
    <row r="93" spans="1:16" s="821" customFormat="1" ht="19.5" customHeight="1">
      <c r="A93" s="833"/>
      <c r="B93" s="81"/>
      <c r="C93" s="458">
        <v>2020</v>
      </c>
      <c r="D93" s="458"/>
      <c r="E93" s="730">
        <f t="shared" si="26"/>
        <v>2109.819</v>
      </c>
      <c r="F93" s="730"/>
      <c r="G93" s="733"/>
      <c r="H93" s="730">
        <f t="shared" si="27"/>
        <v>0</v>
      </c>
      <c r="I93" s="733"/>
      <c r="J93" s="735">
        <v>0</v>
      </c>
      <c r="K93" s="735"/>
      <c r="L93" s="711">
        <f>2023.496+86.323</f>
        <v>2109.819</v>
      </c>
      <c r="M93" s="711"/>
      <c r="N93" s="737">
        <v>0</v>
      </c>
      <c r="O93" s="717" t="s">
        <v>453</v>
      </c>
      <c r="P93" s="55"/>
    </row>
    <row r="94" spans="1:16" s="821" customFormat="1" ht="19.5" customHeight="1">
      <c r="A94" s="833"/>
      <c r="B94" s="81"/>
      <c r="C94" s="458"/>
      <c r="D94" s="458"/>
      <c r="E94" s="730">
        <f t="shared" si="26"/>
        <v>697.4849999999999</v>
      </c>
      <c r="F94" s="730"/>
      <c r="G94" s="733"/>
      <c r="H94" s="730">
        <f t="shared" si="27"/>
        <v>0</v>
      </c>
      <c r="I94" s="733"/>
      <c r="J94" s="735"/>
      <c r="K94" s="735"/>
      <c r="L94" s="711">
        <f>1403.2+126.908-163-0.66-430.963-238</f>
        <v>697.4849999999999</v>
      </c>
      <c r="M94" s="711"/>
      <c r="N94" s="737"/>
      <c r="O94" s="717" t="s">
        <v>454</v>
      </c>
      <c r="P94" s="55"/>
    </row>
    <row r="95" spans="1:16" s="821" customFormat="1" ht="19.5" customHeight="1">
      <c r="A95" s="833"/>
      <c r="B95" s="81"/>
      <c r="C95" s="458">
        <v>2021</v>
      </c>
      <c r="D95" s="458"/>
      <c r="E95" s="730">
        <f t="shared" si="26"/>
        <v>1739.68993</v>
      </c>
      <c r="F95" s="730"/>
      <c r="G95" s="733"/>
      <c r="H95" s="730">
        <f t="shared" si="27"/>
        <v>0</v>
      </c>
      <c r="I95" s="733"/>
      <c r="J95" s="735">
        <v>0</v>
      </c>
      <c r="K95" s="735"/>
      <c r="L95" s="711">
        <v>1739.68993</v>
      </c>
      <c r="M95" s="711"/>
      <c r="N95" s="737">
        <v>0</v>
      </c>
      <c r="O95" s="717" t="s">
        <v>455</v>
      </c>
      <c r="P95" s="55"/>
    </row>
    <row r="96" spans="1:16" s="821" customFormat="1" ht="19.5" customHeight="1">
      <c r="A96" s="833"/>
      <c r="B96" s="81"/>
      <c r="C96" s="458"/>
      <c r="D96" s="458"/>
      <c r="E96" s="730">
        <f t="shared" si="26"/>
        <v>608.60166</v>
      </c>
      <c r="F96" s="730"/>
      <c r="G96" s="733"/>
      <c r="H96" s="730">
        <f t="shared" si="27"/>
        <v>0</v>
      </c>
      <c r="I96" s="733"/>
      <c r="J96" s="735"/>
      <c r="K96" s="735"/>
      <c r="L96" s="711">
        <f>353.639+488.362-233.39934</f>
        <v>608.60166</v>
      </c>
      <c r="M96" s="711"/>
      <c r="N96" s="737"/>
      <c r="O96" s="717" t="s">
        <v>456</v>
      </c>
      <c r="P96" s="55"/>
    </row>
    <row r="97" spans="1:16" s="821" customFormat="1" ht="19.5" customHeight="1">
      <c r="A97" s="833"/>
      <c r="B97" s="81"/>
      <c r="C97" s="458">
        <v>2022</v>
      </c>
      <c r="D97" s="458"/>
      <c r="E97" s="730">
        <f t="shared" si="26"/>
        <v>1939.69</v>
      </c>
      <c r="F97" s="730"/>
      <c r="G97" s="733"/>
      <c r="H97" s="730">
        <f t="shared" si="27"/>
        <v>0</v>
      </c>
      <c r="I97" s="733"/>
      <c r="J97" s="735">
        <v>0</v>
      </c>
      <c r="K97" s="735"/>
      <c r="L97" s="711">
        <v>1939.69</v>
      </c>
      <c r="M97" s="711"/>
      <c r="N97" s="737">
        <v>0</v>
      </c>
      <c r="O97" s="717" t="s">
        <v>455</v>
      </c>
      <c r="P97" s="55"/>
    </row>
    <row r="98" spans="1:16" s="821" customFormat="1" ht="19.5" customHeight="1">
      <c r="A98" s="833"/>
      <c r="B98" s="81"/>
      <c r="C98" s="458"/>
      <c r="D98" s="458"/>
      <c r="E98" s="730">
        <f t="shared" si="26"/>
        <v>608.602</v>
      </c>
      <c r="F98" s="730"/>
      <c r="G98" s="733"/>
      <c r="H98" s="730">
        <f t="shared" si="27"/>
        <v>0</v>
      </c>
      <c r="I98" s="733"/>
      <c r="J98" s="735"/>
      <c r="K98" s="735"/>
      <c r="L98" s="711">
        <v>608.602</v>
      </c>
      <c r="M98" s="711"/>
      <c r="N98" s="737"/>
      <c r="O98" s="717" t="s">
        <v>456</v>
      </c>
      <c r="P98" s="55"/>
    </row>
    <row r="99" spans="1:16" s="821" customFormat="1" ht="19.5" customHeight="1">
      <c r="A99" s="833"/>
      <c r="B99" s="81"/>
      <c r="C99" s="458">
        <v>2023</v>
      </c>
      <c r="D99" s="458"/>
      <c r="E99" s="730">
        <f t="shared" si="26"/>
        <v>1939.69</v>
      </c>
      <c r="F99" s="730"/>
      <c r="G99" s="733"/>
      <c r="H99" s="730">
        <f t="shared" si="27"/>
        <v>0</v>
      </c>
      <c r="I99" s="733"/>
      <c r="J99" s="735"/>
      <c r="K99" s="735"/>
      <c r="L99" s="711">
        <v>1939.69</v>
      </c>
      <c r="M99" s="711"/>
      <c r="N99" s="737"/>
      <c r="O99" s="717" t="s">
        <v>455</v>
      </c>
      <c r="P99" s="55"/>
    </row>
    <row r="100" spans="1:16" s="821" customFormat="1" ht="19.5" customHeight="1">
      <c r="A100" s="833"/>
      <c r="B100" s="81"/>
      <c r="C100" s="458"/>
      <c r="D100" s="458"/>
      <c r="E100" s="730">
        <f t="shared" si="26"/>
        <v>459.202</v>
      </c>
      <c r="F100" s="730"/>
      <c r="G100" s="733"/>
      <c r="H100" s="730">
        <f t="shared" si="27"/>
        <v>0</v>
      </c>
      <c r="I100" s="733"/>
      <c r="J100" s="735"/>
      <c r="K100" s="735"/>
      <c r="L100" s="711">
        <v>459.202</v>
      </c>
      <c r="M100" s="711"/>
      <c r="N100" s="737"/>
      <c r="O100" s="717" t="s">
        <v>456</v>
      </c>
      <c r="P100" s="55"/>
    </row>
    <row r="101" spans="1:16" s="821" customFormat="1" ht="19.5" customHeight="1">
      <c r="A101" s="833"/>
      <c r="B101" s="81"/>
      <c r="C101" s="458">
        <v>2024</v>
      </c>
      <c r="D101" s="458"/>
      <c r="E101" s="730">
        <f t="shared" si="26"/>
        <v>1939.69</v>
      </c>
      <c r="F101" s="730"/>
      <c r="G101" s="733"/>
      <c r="H101" s="730">
        <f t="shared" si="27"/>
        <v>0</v>
      </c>
      <c r="I101" s="733"/>
      <c r="J101" s="735"/>
      <c r="K101" s="735"/>
      <c r="L101" s="711">
        <v>1939.69</v>
      </c>
      <c r="M101" s="711"/>
      <c r="N101" s="737"/>
      <c r="O101" s="717" t="s">
        <v>455</v>
      </c>
      <c r="P101" s="55"/>
    </row>
    <row r="102" spans="1:16" s="821" customFormat="1" ht="19.5" customHeight="1">
      <c r="A102" s="833"/>
      <c r="B102" s="81"/>
      <c r="C102" s="458"/>
      <c r="D102" s="458"/>
      <c r="E102" s="730">
        <f t="shared" si="26"/>
        <v>459.202</v>
      </c>
      <c r="F102" s="730"/>
      <c r="G102" s="733"/>
      <c r="H102" s="730">
        <f t="shared" si="27"/>
        <v>0</v>
      </c>
      <c r="I102" s="733"/>
      <c r="J102" s="735"/>
      <c r="K102" s="735"/>
      <c r="L102" s="711">
        <v>459.202</v>
      </c>
      <c r="M102" s="711"/>
      <c r="N102" s="737"/>
      <c r="O102" s="717" t="s">
        <v>456</v>
      </c>
      <c r="P102" s="55"/>
    </row>
    <row r="103" spans="1:16" s="821" customFormat="1" ht="19.5" customHeight="1">
      <c r="A103" s="844" t="s">
        <v>457</v>
      </c>
      <c r="B103" s="81" t="s">
        <v>458</v>
      </c>
      <c r="C103" s="458">
        <v>2017</v>
      </c>
      <c r="D103" s="458"/>
      <c r="E103" s="730">
        <f t="shared" si="26"/>
        <v>4216.183</v>
      </c>
      <c r="F103" s="730"/>
      <c r="G103" s="733"/>
      <c r="H103" s="730">
        <f t="shared" si="27"/>
        <v>400</v>
      </c>
      <c r="I103" s="733"/>
      <c r="J103" s="735">
        <v>400</v>
      </c>
      <c r="K103" s="735"/>
      <c r="L103" s="711">
        <v>3016.183</v>
      </c>
      <c r="M103" s="711"/>
      <c r="N103" s="737">
        <v>800</v>
      </c>
      <c r="O103" s="717" t="s">
        <v>432</v>
      </c>
      <c r="P103" s="55"/>
    </row>
    <row r="104" spans="1:16" s="821" customFormat="1" ht="19.5" customHeight="1">
      <c r="A104" s="844"/>
      <c r="B104" s="81"/>
      <c r="C104" s="458">
        <v>2018</v>
      </c>
      <c r="D104" s="458"/>
      <c r="E104" s="730">
        <f t="shared" si="26"/>
        <v>4244.3846699999995</v>
      </c>
      <c r="F104" s="730"/>
      <c r="G104" s="733"/>
      <c r="H104" s="730">
        <f t="shared" si="27"/>
        <v>683</v>
      </c>
      <c r="I104" s="733"/>
      <c r="J104" s="735">
        <v>683</v>
      </c>
      <c r="K104" s="735"/>
      <c r="L104" s="711">
        <v>2446.61067</v>
      </c>
      <c r="M104" s="711"/>
      <c r="N104" s="737">
        <v>1114.774</v>
      </c>
      <c r="O104" s="717" t="s">
        <v>432</v>
      </c>
      <c r="P104" s="55"/>
    </row>
    <row r="105" spans="1:16" s="821" customFormat="1" ht="19.5" customHeight="1">
      <c r="A105" s="844"/>
      <c r="B105" s="81"/>
      <c r="C105" s="458">
        <v>2019</v>
      </c>
      <c r="D105" s="458"/>
      <c r="E105" s="730">
        <f t="shared" si="26"/>
        <v>5176.28063</v>
      </c>
      <c r="F105" s="730"/>
      <c r="G105" s="733"/>
      <c r="H105" s="730">
        <f t="shared" si="27"/>
        <v>585.029</v>
      </c>
      <c r="I105" s="733"/>
      <c r="J105" s="735">
        <f>721.445-136.416</f>
        <v>585.029</v>
      </c>
      <c r="K105" s="735"/>
      <c r="L105" s="711">
        <f>3041.47163+39.4</f>
        <v>3080.87163</v>
      </c>
      <c r="M105" s="711"/>
      <c r="N105" s="737">
        <v>1510.38</v>
      </c>
      <c r="O105" s="717" t="s">
        <v>432</v>
      </c>
      <c r="P105" s="55"/>
    </row>
    <row r="106" spans="1:16" s="821" customFormat="1" ht="19.5" customHeight="1">
      <c r="A106" s="844"/>
      <c r="B106" s="81"/>
      <c r="C106" s="458"/>
      <c r="D106" s="458"/>
      <c r="E106" s="730">
        <f t="shared" si="26"/>
        <v>12.474</v>
      </c>
      <c r="F106" s="730"/>
      <c r="G106" s="733"/>
      <c r="H106" s="730">
        <f t="shared" si="27"/>
        <v>12.474</v>
      </c>
      <c r="I106" s="733"/>
      <c r="J106" s="735">
        <v>12.474</v>
      </c>
      <c r="K106" s="735"/>
      <c r="L106" s="711">
        <v>0</v>
      </c>
      <c r="M106" s="711"/>
      <c r="N106" s="737">
        <v>0</v>
      </c>
      <c r="O106" s="717" t="s">
        <v>459</v>
      </c>
      <c r="P106" s="55"/>
    </row>
    <row r="107" spans="1:16" s="821" customFormat="1" ht="19.5" customHeight="1">
      <c r="A107" s="844"/>
      <c r="B107" s="81"/>
      <c r="C107" s="458">
        <v>2020</v>
      </c>
      <c r="D107" s="458"/>
      <c r="E107" s="730">
        <f t="shared" si="26"/>
        <v>0</v>
      </c>
      <c r="F107" s="730"/>
      <c r="G107" s="733"/>
      <c r="H107" s="730">
        <f t="shared" si="27"/>
        <v>0</v>
      </c>
      <c r="I107" s="733"/>
      <c r="J107" s="735">
        <f>855-855</f>
        <v>0</v>
      </c>
      <c r="K107" s="735"/>
      <c r="L107" s="711">
        <f>127.8-127.8</f>
        <v>0</v>
      </c>
      <c r="M107" s="711"/>
      <c r="N107" s="737">
        <f>1044-1044</f>
        <v>0</v>
      </c>
      <c r="O107" s="717" t="s">
        <v>432</v>
      </c>
      <c r="P107" s="55"/>
    </row>
    <row r="108" spans="1:16" s="821" customFormat="1" ht="19.5" customHeight="1">
      <c r="A108" s="844"/>
      <c r="B108" s="81"/>
      <c r="C108" s="458"/>
      <c r="D108" s="458"/>
      <c r="E108" s="730">
        <f t="shared" si="26"/>
        <v>58.01799999999997</v>
      </c>
      <c r="F108" s="730"/>
      <c r="G108" s="733"/>
      <c r="H108" s="730">
        <f t="shared" si="27"/>
        <v>0</v>
      </c>
      <c r="I108" s="733"/>
      <c r="J108" s="735"/>
      <c r="K108" s="735"/>
      <c r="L108" s="711">
        <f>1099.925+0.2-646.302-395.805</f>
        <v>58.01799999999997</v>
      </c>
      <c r="M108" s="711"/>
      <c r="N108" s="737"/>
      <c r="O108" s="717" t="s">
        <v>460</v>
      </c>
      <c r="P108" s="55"/>
    </row>
    <row r="109" spans="1:16" s="821" customFormat="1" ht="19.5" customHeight="1">
      <c r="A109" s="844"/>
      <c r="B109" s="81"/>
      <c r="C109" s="458"/>
      <c r="D109" s="458"/>
      <c r="E109" s="730">
        <f t="shared" si="26"/>
        <v>0</v>
      </c>
      <c r="F109" s="730"/>
      <c r="G109" s="733"/>
      <c r="H109" s="730">
        <f t="shared" si="27"/>
        <v>0</v>
      </c>
      <c r="I109" s="733"/>
      <c r="J109" s="735"/>
      <c r="K109" s="735"/>
      <c r="L109" s="711">
        <f>2273.075-983.897-1289.178</f>
        <v>0</v>
      </c>
      <c r="M109" s="711"/>
      <c r="N109" s="737"/>
      <c r="O109" s="717" t="s">
        <v>461</v>
      </c>
      <c r="P109" s="55"/>
    </row>
    <row r="110" spans="1:16" s="821" customFormat="1" ht="19.5" customHeight="1">
      <c r="A110" s="844"/>
      <c r="B110" s="81"/>
      <c r="C110" s="458">
        <v>2021</v>
      </c>
      <c r="D110" s="458"/>
      <c r="E110" s="730">
        <f t="shared" si="26"/>
        <v>1521.1534000000001</v>
      </c>
      <c r="F110" s="730"/>
      <c r="G110" s="733"/>
      <c r="H110" s="730">
        <f t="shared" si="27"/>
        <v>290.4</v>
      </c>
      <c r="I110" s="733"/>
      <c r="J110" s="730">
        <f>J111+J112</f>
        <v>290.4</v>
      </c>
      <c r="K110" s="730"/>
      <c r="L110" s="742">
        <f>L111+L112</f>
        <v>762.7534</v>
      </c>
      <c r="M110" s="742"/>
      <c r="N110" s="733">
        <v>468</v>
      </c>
      <c r="O110" s="717" t="s">
        <v>462</v>
      </c>
      <c r="P110" s="55"/>
    </row>
    <row r="111" spans="1:16" s="821" customFormat="1" ht="19.5" customHeight="1">
      <c r="A111" s="844"/>
      <c r="B111" s="81"/>
      <c r="C111" s="458"/>
      <c r="D111" s="458"/>
      <c r="E111" s="730">
        <f t="shared" si="26"/>
        <v>419.12712</v>
      </c>
      <c r="F111" s="730"/>
      <c r="G111" s="733"/>
      <c r="H111" s="730">
        <f t="shared" si="27"/>
        <v>290.4</v>
      </c>
      <c r="I111" s="733"/>
      <c r="J111" s="735">
        <v>290.4</v>
      </c>
      <c r="K111" s="735"/>
      <c r="L111" s="711">
        <f>128.72712</f>
        <v>128.72712</v>
      </c>
      <c r="M111" s="711"/>
      <c r="N111" s="737"/>
      <c r="O111" s="717" t="s">
        <v>463</v>
      </c>
      <c r="P111" s="55"/>
    </row>
    <row r="112" spans="1:16" s="821" customFormat="1" ht="19.5" customHeight="1">
      <c r="A112" s="844"/>
      <c r="B112" s="81"/>
      <c r="C112" s="458"/>
      <c r="D112" s="458"/>
      <c r="E112" s="730">
        <f t="shared" si="26"/>
        <v>634.02628</v>
      </c>
      <c r="F112" s="730"/>
      <c r="G112" s="733"/>
      <c r="H112" s="730">
        <f t="shared" si="27"/>
        <v>0</v>
      </c>
      <c r="I112" s="733"/>
      <c r="J112" s="735">
        <v>0</v>
      </c>
      <c r="K112" s="735"/>
      <c r="L112" s="711">
        <v>634.02628</v>
      </c>
      <c r="M112" s="711"/>
      <c r="N112" s="737"/>
      <c r="O112" s="717" t="s">
        <v>461</v>
      </c>
      <c r="P112" s="55"/>
    </row>
    <row r="113" spans="1:16" s="821" customFormat="1" ht="19.5" customHeight="1">
      <c r="A113" s="844"/>
      <c r="B113" s="81"/>
      <c r="C113" s="458">
        <v>2022</v>
      </c>
      <c r="D113" s="458"/>
      <c r="E113" s="730">
        <f t="shared" si="26"/>
        <v>2204.9</v>
      </c>
      <c r="F113" s="730"/>
      <c r="G113" s="733"/>
      <c r="H113" s="730">
        <f t="shared" si="27"/>
        <v>1010</v>
      </c>
      <c r="I113" s="733"/>
      <c r="J113" s="735">
        <v>1010</v>
      </c>
      <c r="K113" s="735"/>
      <c r="L113" s="711">
        <v>150.9</v>
      </c>
      <c r="M113" s="711"/>
      <c r="N113" s="737">
        <v>1044</v>
      </c>
      <c r="O113" s="717" t="s">
        <v>464</v>
      </c>
      <c r="P113" s="55"/>
    </row>
    <row r="114" spans="1:16" s="821" customFormat="1" ht="19.5" customHeight="1">
      <c r="A114" s="844"/>
      <c r="B114" s="81"/>
      <c r="C114" s="458"/>
      <c r="D114" s="458"/>
      <c r="E114" s="730">
        <f t="shared" si="26"/>
        <v>1851.6930000000002</v>
      </c>
      <c r="F114" s="730"/>
      <c r="G114" s="733"/>
      <c r="H114" s="730">
        <f t="shared" si="27"/>
        <v>0</v>
      </c>
      <c r="I114" s="733"/>
      <c r="J114" s="735">
        <v>0</v>
      </c>
      <c r="K114" s="735"/>
      <c r="L114" s="711">
        <f>149.4+210.422+1491.871</f>
        <v>1851.6930000000002</v>
      </c>
      <c r="M114" s="711"/>
      <c r="N114" s="737"/>
      <c r="O114" s="717" t="s">
        <v>463</v>
      </c>
      <c r="P114" s="55"/>
    </row>
    <row r="115" spans="1:16" s="821" customFormat="1" ht="19.5" customHeight="1">
      <c r="A115" s="844"/>
      <c r="B115" s="81"/>
      <c r="C115" s="458"/>
      <c r="D115" s="458"/>
      <c r="E115" s="730">
        <f t="shared" si="26"/>
        <v>0</v>
      </c>
      <c r="F115" s="730"/>
      <c r="G115" s="733"/>
      <c r="H115" s="730">
        <f t="shared" si="27"/>
        <v>0</v>
      </c>
      <c r="I115" s="733"/>
      <c r="J115" s="735">
        <v>0</v>
      </c>
      <c r="K115" s="735"/>
      <c r="L115" s="711">
        <v>0</v>
      </c>
      <c r="M115" s="711"/>
      <c r="N115" s="737"/>
      <c r="O115" s="717" t="s">
        <v>461</v>
      </c>
      <c r="P115" s="55"/>
    </row>
    <row r="116" spans="1:16" s="821" customFormat="1" ht="19.5" customHeight="1">
      <c r="A116" s="844"/>
      <c r="B116" s="81"/>
      <c r="C116" s="458">
        <v>2023</v>
      </c>
      <c r="D116" s="458"/>
      <c r="E116" s="730">
        <f t="shared" si="26"/>
        <v>1119.126</v>
      </c>
      <c r="F116" s="730"/>
      <c r="G116" s="733"/>
      <c r="H116" s="730">
        <f t="shared" si="27"/>
        <v>1010</v>
      </c>
      <c r="I116" s="733"/>
      <c r="J116" s="735">
        <v>1010</v>
      </c>
      <c r="K116" s="735"/>
      <c r="L116" s="711">
        <v>109.126</v>
      </c>
      <c r="M116" s="711"/>
      <c r="N116" s="737"/>
      <c r="O116" s="717" t="s">
        <v>464</v>
      </c>
      <c r="P116" s="55"/>
    </row>
    <row r="117" spans="1:16" s="821" customFormat="1" ht="19.5" customHeight="1">
      <c r="A117" s="844"/>
      <c r="B117" s="81"/>
      <c r="C117" s="458"/>
      <c r="D117" s="458"/>
      <c r="E117" s="730">
        <f t="shared" si="26"/>
        <v>149.4</v>
      </c>
      <c r="F117" s="730"/>
      <c r="G117" s="733"/>
      <c r="H117" s="730">
        <f t="shared" si="27"/>
        <v>0</v>
      </c>
      <c r="I117" s="733"/>
      <c r="J117" s="735">
        <v>0</v>
      </c>
      <c r="K117" s="735"/>
      <c r="L117" s="711">
        <v>149.4</v>
      </c>
      <c r="M117" s="711"/>
      <c r="N117" s="737"/>
      <c r="O117" s="717" t="s">
        <v>463</v>
      </c>
      <c r="P117" s="55"/>
    </row>
    <row r="118" spans="1:16" s="821" customFormat="1" ht="19.5" customHeight="1">
      <c r="A118" s="844"/>
      <c r="B118" s="81"/>
      <c r="C118" s="458"/>
      <c r="D118" s="458"/>
      <c r="E118" s="730">
        <f t="shared" si="26"/>
        <v>0</v>
      </c>
      <c r="F118" s="730"/>
      <c r="G118" s="733"/>
      <c r="H118" s="730">
        <f t="shared" si="27"/>
        <v>0</v>
      </c>
      <c r="I118" s="733"/>
      <c r="J118" s="735">
        <v>0</v>
      </c>
      <c r="K118" s="735"/>
      <c r="L118" s="711">
        <v>0</v>
      </c>
      <c r="M118" s="711"/>
      <c r="N118" s="737"/>
      <c r="O118" s="717" t="s">
        <v>461</v>
      </c>
      <c r="P118" s="55"/>
    </row>
    <row r="119" spans="1:16" s="821" customFormat="1" ht="19.5" customHeight="1">
      <c r="A119" s="844"/>
      <c r="B119" s="81"/>
      <c r="C119" s="458">
        <v>2024</v>
      </c>
      <c r="D119" s="458"/>
      <c r="E119" s="730">
        <f t="shared" si="26"/>
        <v>1119.126</v>
      </c>
      <c r="F119" s="730"/>
      <c r="G119" s="733"/>
      <c r="H119" s="730">
        <f t="shared" si="27"/>
        <v>1010</v>
      </c>
      <c r="I119" s="733"/>
      <c r="J119" s="735">
        <v>1010</v>
      </c>
      <c r="K119" s="735"/>
      <c r="L119" s="711">
        <v>109.126</v>
      </c>
      <c r="M119" s="711"/>
      <c r="N119" s="737"/>
      <c r="O119" s="717" t="s">
        <v>464</v>
      </c>
      <c r="P119" s="55"/>
    </row>
    <row r="120" spans="1:16" s="821" customFormat="1" ht="19.5" customHeight="1">
      <c r="A120" s="844"/>
      <c r="B120" s="81"/>
      <c r="C120" s="458"/>
      <c r="D120" s="458"/>
      <c r="E120" s="730">
        <f t="shared" si="26"/>
        <v>149.4</v>
      </c>
      <c r="F120" s="730"/>
      <c r="G120" s="733"/>
      <c r="H120" s="730">
        <f t="shared" si="27"/>
        <v>0</v>
      </c>
      <c r="I120" s="733"/>
      <c r="J120" s="735">
        <v>0</v>
      </c>
      <c r="K120" s="735"/>
      <c r="L120" s="711">
        <v>149.4</v>
      </c>
      <c r="M120" s="711"/>
      <c r="N120" s="737"/>
      <c r="O120" s="717" t="s">
        <v>463</v>
      </c>
      <c r="P120" s="55"/>
    </row>
    <row r="121" spans="1:16" s="821" customFormat="1" ht="19.5" customHeight="1">
      <c r="A121" s="844"/>
      <c r="B121" s="81"/>
      <c r="C121" s="458"/>
      <c r="D121" s="458"/>
      <c r="E121" s="730">
        <f t="shared" si="26"/>
        <v>0</v>
      </c>
      <c r="F121" s="730"/>
      <c r="G121" s="733"/>
      <c r="H121" s="730">
        <f t="shared" si="27"/>
        <v>0</v>
      </c>
      <c r="I121" s="733"/>
      <c r="J121" s="735">
        <v>0</v>
      </c>
      <c r="K121" s="735"/>
      <c r="L121" s="711">
        <v>0</v>
      </c>
      <c r="M121" s="711"/>
      <c r="N121" s="737"/>
      <c r="O121" s="717" t="s">
        <v>461</v>
      </c>
      <c r="P121" s="55"/>
    </row>
    <row r="122" spans="1:16" s="821" customFormat="1" ht="19.5" customHeight="1">
      <c r="A122" s="833" t="s">
        <v>336</v>
      </c>
      <c r="B122" s="81" t="s">
        <v>465</v>
      </c>
      <c r="C122" s="458">
        <v>2017</v>
      </c>
      <c r="D122" s="458"/>
      <c r="E122" s="730">
        <f aca="true" t="shared" si="28" ref="E122:E123">G122+H122+L122+N122</f>
        <v>0</v>
      </c>
      <c r="F122" s="85"/>
      <c r="G122" s="85"/>
      <c r="H122" s="730">
        <f t="shared" si="27"/>
        <v>0</v>
      </c>
      <c r="I122" s="85"/>
      <c r="J122" s="737">
        <v>0</v>
      </c>
      <c r="K122" s="736"/>
      <c r="L122" s="711">
        <v>0</v>
      </c>
      <c r="M122" s="840"/>
      <c r="N122" s="817"/>
      <c r="O122" s="717" t="s">
        <v>432</v>
      </c>
      <c r="P122" s="55" t="s">
        <v>466</v>
      </c>
    </row>
    <row r="123" spans="1:16" s="821" customFormat="1" ht="14.25" customHeight="1">
      <c r="A123" s="833"/>
      <c r="B123" s="81"/>
      <c r="C123" s="52">
        <v>2018</v>
      </c>
      <c r="D123" s="52"/>
      <c r="E123" s="834">
        <f t="shared" si="28"/>
        <v>833.5521299999999</v>
      </c>
      <c r="F123" s="85"/>
      <c r="G123" s="81"/>
      <c r="H123" s="834">
        <f t="shared" si="27"/>
        <v>0</v>
      </c>
      <c r="I123" s="81"/>
      <c r="J123" s="838">
        <v>0</v>
      </c>
      <c r="K123" s="836"/>
      <c r="L123" s="839">
        <f>859.059-25.50687</f>
        <v>833.5521299999999</v>
      </c>
      <c r="M123" s="839"/>
      <c r="N123" s="52"/>
      <c r="O123" s="78" t="s">
        <v>432</v>
      </c>
      <c r="P123" s="55"/>
    </row>
    <row r="124" spans="1:16" s="821" customFormat="1" ht="11.25" customHeight="1">
      <c r="A124" s="833"/>
      <c r="B124" s="81"/>
      <c r="C124" s="52"/>
      <c r="D124" s="52"/>
      <c r="E124" s="834"/>
      <c r="F124" s="85"/>
      <c r="G124" s="81"/>
      <c r="H124" s="834"/>
      <c r="I124" s="81"/>
      <c r="J124" s="838"/>
      <c r="K124" s="836"/>
      <c r="L124" s="839"/>
      <c r="M124" s="839"/>
      <c r="N124" s="52"/>
      <c r="O124" s="78"/>
      <c r="P124" s="55"/>
    </row>
    <row r="125" spans="1:16" s="821" customFormat="1" ht="10.5" customHeight="1">
      <c r="A125" s="833"/>
      <c r="B125" s="81"/>
      <c r="C125" s="52"/>
      <c r="D125" s="52"/>
      <c r="E125" s="834"/>
      <c r="F125" s="85"/>
      <c r="G125" s="81"/>
      <c r="H125" s="834"/>
      <c r="I125" s="81"/>
      <c r="J125" s="838"/>
      <c r="K125" s="836"/>
      <c r="L125" s="839"/>
      <c r="M125" s="839"/>
      <c r="N125" s="52"/>
      <c r="O125" s="78"/>
      <c r="P125" s="55"/>
    </row>
    <row r="126" spans="1:16" s="821" customFormat="1" ht="19.5" customHeight="1">
      <c r="A126" s="833"/>
      <c r="B126" s="81"/>
      <c r="C126" s="458">
        <v>2019</v>
      </c>
      <c r="D126" s="458"/>
      <c r="E126" s="730">
        <f aca="true" t="shared" si="29" ref="E126:E131">G126+H126+L126+N126</f>
        <v>731</v>
      </c>
      <c r="F126" s="85"/>
      <c r="G126" s="85"/>
      <c r="H126" s="730">
        <f aca="true" t="shared" si="30" ref="H126:H157">I126+J126</f>
        <v>0</v>
      </c>
      <c r="I126" s="85"/>
      <c r="J126" s="735">
        <v>0</v>
      </c>
      <c r="K126" s="736"/>
      <c r="L126" s="711">
        <v>731</v>
      </c>
      <c r="M126" s="840"/>
      <c r="N126" s="817"/>
      <c r="O126" s="717" t="s">
        <v>432</v>
      </c>
      <c r="P126" s="55"/>
    </row>
    <row r="127" spans="1:16" s="821" customFormat="1" ht="19.5" customHeight="1">
      <c r="A127" s="833"/>
      <c r="B127" s="81"/>
      <c r="C127" s="458">
        <v>2020</v>
      </c>
      <c r="D127" s="458"/>
      <c r="E127" s="730">
        <f t="shared" si="29"/>
        <v>0</v>
      </c>
      <c r="F127" s="85"/>
      <c r="G127" s="85"/>
      <c r="H127" s="730">
        <f t="shared" si="30"/>
        <v>0</v>
      </c>
      <c r="I127" s="85"/>
      <c r="J127" s="735">
        <v>0</v>
      </c>
      <c r="K127" s="736"/>
      <c r="L127" s="711">
        <v>0</v>
      </c>
      <c r="M127" s="840"/>
      <c r="N127" s="817"/>
      <c r="O127" s="717"/>
      <c r="P127" s="55"/>
    </row>
    <row r="128" spans="1:16" s="821" customFormat="1" ht="19.5" customHeight="1">
      <c r="A128" s="833"/>
      <c r="B128" s="81"/>
      <c r="C128" s="458">
        <v>2021</v>
      </c>
      <c r="D128" s="458"/>
      <c r="E128" s="730">
        <f t="shared" si="29"/>
        <v>1181.324</v>
      </c>
      <c r="F128" s="85"/>
      <c r="G128" s="85"/>
      <c r="H128" s="730">
        <f t="shared" si="30"/>
        <v>0</v>
      </c>
      <c r="I128" s="85"/>
      <c r="J128" s="735">
        <v>0</v>
      </c>
      <c r="K128" s="736"/>
      <c r="L128" s="711">
        <v>1181.324</v>
      </c>
      <c r="M128" s="840"/>
      <c r="N128" s="817"/>
      <c r="O128" s="717"/>
      <c r="P128" s="55"/>
    </row>
    <row r="129" spans="1:16" s="821" customFormat="1" ht="18.75" customHeight="1">
      <c r="A129" s="833"/>
      <c r="B129" s="81"/>
      <c r="C129" s="458">
        <v>2022</v>
      </c>
      <c r="D129" s="458"/>
      <c r="E129" s="730">
        <f t="shared" si="29"/>
        <v>1000</v>
      </c>
      <c r="F129" s="85"/>
      <c r="G129" s="85"/>
      <c r="H129" s="730">
        <f t="shared" si="30"/>
        <v>1000</v>
      </c>
      <c r="I129" s="85"/>
      <c r="J129" s="735">
        <v>1000</v>
      </c>
      <c r="K129" s="736"/>
      <c r="L129" s="711">
        <v>0</v>
      </c>
      <c r="M129" s="840"/>
      <c r="N129" s="817"/>
      <c r="O129" s="717"/>
      <c r="P129" s="55"/>
    </row>
    <row r="130" spans="1:16" s="821" customFormat="1" ht="18.75" customHeight="1">
      <c r="A130" s="833"/>
      <c r="B130" s="81"/>
      <c r="C130" s="458">
        <v>2023</v>
      </c>
      <c r="D130" s="458"/>
      <c r="E130" s="730">
        <f t="shared" si="29"/>
        <v>1000</v>
      </c>
      <c r="F130" s="85"/>
      <c r="G130" s="85"/>
      <c r="H130" s="730">
        <f t="shared" si="30"/>
        <v>1000</v>
      </c>
      <c r="I130" s="85"/>
      <c r="J130" s="735">
        <v>1000</v>
      </c>
      <c r="K130" s="736"/>
      <c r="L130" s="711">
        <v>0</v>
      </c>
      <c r="M130" s="840"/>
      <c r="N130" s="817"/>
      <c r="O130" s="717"/>
      <c r="P130" s="55"/>
    </row>
    <row r="131" spans="1:16" s="821" customFormat="1" ht="18.75" customHeight="1">
      <c r="A131" s="833"/>
      <c r="B131" s="81"/>
      <c r="C131" s="458">
        <v>2024</v>
      </c>
      <c r="D131" s="458"/>
      <c r="E131" s="730">
        <f t="shared" si="29"/>
        <v>1000</v>
      </c>
      <c r="F131" s="85"/>
      <c r="G131" s="85"/>
      <c r="H131" s="730">
        <f t="shared" si="30"/>
        <v>1000</v>
      </c>
      <c r="I131" s="85"/>
      <c r="J131" s="735">
        <v>1000</v>
      </c>
      <c r="K131" s="736"/>
      <c r="L131" s="711">
        <v>0</v>
      </c>
      <c r="M131" s="840"/>
      <c r="N131" s="817"/>
      <c r="O131" s="717"/>
      <c r="P131" s="55"/>
    </row>
    <row r="132" spans="1:16" s="821" customFormat="1" ht="19.5" customHeight="1">
      <c r="A132" s="833" t="s">
        <v>467</v>
      </c>
      <c r="B132" s="81" t="s">
        <v>468</v>
      </c>
      <c r="C132" s="458">
        <v>2017</v>
      </c>
      <c r="D132" s="85"/>
      <c r="E132" s="834">
        <f>L132+L133</f>
        <v>677.256</v>
      </c>
      <c r="F132" s="731"/>
      <c r="G132" s="731"/>
      <c r="H132" s="730">
        <f t="shared" si="30"/>
        <v>0</v>
      </c>
      <c r="I132" s="731"/>
      <c r="J132" s="735">
        <v>0</v>
      </c>
      <c r="K132" s="735"/>
      <c r="L132" s="711">
        <v>372.376</v>
      </c>
      <c r="M132" s="840"/>
      <c r="N132" s="817"/>
      <c r="O132" s="357" t="s">
        <v>182</v>
      </c>
      <c r="P132" s="55"/>
    </row>
    <row r="133" spans="1:16" s="821" customFormat="1" ht="19.5" customHeight="1">
      <c r="A133" s="833"/>
      <c r="B133" s="81"/>
      <c r="C133" s="458"/>
      <c r="D133" s="85"/>
      <c r="E133" s="834"/>
      <c r="F133" s="731"/>
      <c r="G133" s="731"/>
      <c r="H133" s="730">
        <f t="shared" si="30"/>
        <v>0</v>
      </c>
      <c r="I133" s="731"/>
      <c r="J133" s="735">
        <v>0</v>
      </c>
      <c r="K133" s="735"/>
      <c r="L133" s="711">
        <v>304.88</v>
      </c>
      <c r="M133" s="840"/>
      <c r="N133" s="817"/>
      <c r="O133" s="717" t="s">
        <v>432</v>
      </c>
      <c r="P133" s="55"/>
    </row>
    <row r="134" spans="1:16" s="821" customFormat="1" ht="19.5" customHeight="1">
      <c r="A134" s="833"/>
      <c r="B134" s="81"/>
      <c r="C134" s="458">
        <v>2018</v>
      </c>
      <c r="D134" s="85"/>
      <c r="E134" s="834">
        <f aca="true" t="shared" si="31" ref="E134:E145">G134+H134+L134+N134</f>
        <v>662.365</v>
      </c>
      <c r="F134" s="731"/>
      <c r="G134" s="731"/>
      <c r="H134" s="730">
        <f t="shared" si="30"/>
        <v>0</v>
      </c>
      <c r="I134" s="731"/>
      <c r="J134" s="735">
        <v>0</v>
      </c>
      <c r="K134" s="735"/>
      <c r="L134" s="711">
        <f>698.578-36.213</f>
        <v>662.365</v>
      </c>
      <c r="M134" s="840"/>
      <c r="N134" s="817"/>
      <c r="O134" s="717" t="s">
        <v>182</v>
      </c>
      <c r="P134" s="55"/>
    </row>
    <row r="135" spans="1:16" s="821" customFormat="1" ht="19.5" customHeight="1">
      <c r="A135" s="833"/>
      <c r="B135" s="81"/>
      <c r="C135" s="458">
        <v>2019</v>
      </c>
      <c r="D135" s="85"/>
      <c r="E135" s="834">
        <f t="shared" si="31"/>
        <v>1186.36019</v>
      </c>
      <c r="F135" s="731"/>
      <c r="G135" s="731"/>
      <c r="H135" s="730">
        <f t="shared" si="30"/>
        <v>0</v>
      </c>
      <c r="I135" s="731"/>
      <c r="J135" s="735">
        <v>0</v>
      </c>
      <c r="K135" s="735"/>
      <c r="L135" s="711">
        <f>1186.36019+200-200</f>
        <v>1186.36019</v>
      </c>
      <c r="M135" s="840"/>
      <c r="N135" s="817"/>
      <c r="O135" s="717" t="s">
        <v>182</v>
      </c>
      <c r="P135" s="55"/>
    </row>
    <row r="136" spans="1:16" s="821" customFormat="1" ht="17.25" customHeight="1">
      <c r="A136" s="833"/>
      <c r="B136" s="81"/>
      <c r="C136" s="458">
        <v>2019</v>
      </c>
      <c r="D136" s="85"/>
      <c r="E136" s="834">
        <f t="shared" si="31"/>
        <v>175.332</v>
      </c>
      <c r="F136" s="731"/>
      <c r="G136" s="731"/>
      <c r="H136" s="730">
        <f t="shared" si="30"/>
        <v>0</v>
      </c>
      <c r="I136" s="731"/>
      <c r="J136" s="735">
        <v>0</v>
      </c>
      <c r="K136" s="735"/>
      <c r="L136" s="711">
        <f>246.906-71.574</f>
        <v>175.332</v>
      </c>
      <c r="M136" s="840"/>
      <c r="N136" s="817"/>
      <c r="O136" s="717" t="s">
        <v>469</v>
      </c>
      <c r="P136" s="55"/>
    </row>
    <row r="137" spans="1:16" s="821" customFormat="1" ht="19.5" customHeight="1">
      <c r="A137" s="833"/>
      <c r="B137" s="81"/>
      <c r="C137" s="458">
        <v>2020</v>
      </c>
      <c r="D137" s="85"/>
      <c r="E137" s="88">
        <f t="shared" si="31"/>
        <v>867.3578099999999</v>
      </c>
      <c r="F137" s="731"/>
      <c r="G137" s="731"/>
      <c r="H137" s="730">
        <f t="shared" si="30"/>
        <v>0</v>
      </c>
      <c r="I137" s="731"/>
      <c r="J137" s="735">
        <v>0</v>
      </c>
      <c r="K137" s="735"/>
      <c r="L137" s="711">
        <f>1398.322-512.21819-18.746</f>
        <v>867.3578099999999</v>
      </c>
      <c r="M137" s="840"/>
      <c r="N137" s="817"/>
      <c r="O137" s="717" t="s">
        <v>182</v>
      </c>
      <c r="P137" s="55"/>
    </row>
    <row r="138" spans="1:16" s="821" customFormat="1" ht="20.25" customHeight="1">
      <c r="A138" s="833"/>
      <c r="B138" s="81"/>
      <c r="C138" s="458">
        <v>2020</v>
      </c>
      <c r="D138" s="85"/>
      <c r="E138" s="834">
        <f t="shared" si="31"/>
        <v>299.189</v>
      </c>
      <c r="F138" s="731"/>
      <c r="G138" s="731"/>
      <c r="H138" s="730">
        <f t="shared" si="30"/>
        <v>0</v>
      </c>
      <c r="I138" s="731"/>
      <c r="J138" s="836">
        <v>0</v>
      </c>
      <c r="K138" s="735"/>
      <c r="L138" s="839">
        <f>300-0.811</f>
        <v>299.189</v>
      </c>
      <c r="M138" s="840"/>
      <c r="N138" s="817"/>
      <c r="O138" s="717" t="s">
        <v>470</v>
      </c>
      <c r="P138" s="55"/>
    </row>
    <row r="139" spans="1:16" s="821" customFormat="1" ht="24.75" customHeight="1">
      <c r="A139" s="833"/>
      <c r="B139" s="81"/>
      <c r="C139" s="458">
        <v>2021</v>
      </c>
      <c r="D139" s="85"/>
      <c r="E139" s="834">
        <f t="shared" si="31"/>
        <v>657.74983</v>
      </c>
      <c r="F139" s="731"/>
      <c r="G139" s="731"/>
      <c r="H139" s="730">
        <f t="shared" si="30"/>
        <v>0</v>
      </c>
      <c r="I139" s="731"/>
      <c r="J139" s="730">
        <v>0</v>
      </c>
      <c r="K139" s="730"/>
      <c r="L139" s="705">
        <f>L140+L141</f>
        <v>657.74983</v>
      </c>
      <c r="M139" s="840"/>
      <c r="N139" s="817"/>
      <c r="O139" s="717" t="s">
        <v>182</v>
      </c>
      <c r="P139" s="55"/>
    </row>
    <row r="140" spans="1:16" s="821" customFormat="1" ht="51" customHeight="1">
      <c r="A140" s="833"/>
      <c r="B140" s="85" t="s">
        <v>471</v>
      </c>
      <c r="C140" s="458"/>
      <c r="D140" s="85"/>
      <c r="E140" s="834">
        <f t="shared" si="31"/>
        <v>523.9098299999999</v>
      </c>
      <c r="F140" s="731"/>
      <c r="G140" s="731"/>
      <c r="H140" s="730">
        <f t="shared" si="30"/>
        <v>0</v>
      </c>
      <c r="I140" s="731"/>
      <c r="J140" s="735">
        <v>0</v>
      </c>
      <c r="K140" s="735"/>
      <c r="L140" s="711">
        <f>734.06-210.15017</f>
        <v>523.9098299999999</v>
      </c>
      <c r="M140" s="840"/>
      <c r="N140" s="817"/>
      <c r="O140" s="718" t="s">
        <v>182</v>
      </c>
      <c r="P140" s="55"/>
    </row>
    <row r="141" spans="1:16" s="821" customFormat="1" ht="32.25" customHeight="1">
      <c r="A141" s="833"/>
      <c r="B141" s="85" t="s">
        <v>472</v>
      </c>
      <c r="C141" s="458"/>
      <c r="D141" s="85"/>
      <c r="E141" s="834">
        <f t="shared" si="31"/>
        <v>133.84</v>
      </c>
      <c r="F141" s="731"/>
      <c r="G141" s="731"/>
      <c r="H141" s="730">
        <f t="shared" si="30"/>
        <v>0</v>
      </c>
      <c r="I141" s="731"/>
      <c r="J141" s="735">
        <v>0</v>
      </c>
      <c r="K141" s="735"/>
      <c r="L141" s="708">
        <v>133.84</v>
      </c>
      <c r="M141" s="840"/>
      <c r="N141" s="817"/>
      <c r="O141" s="717" t="s">
        <v>432</v>
      </c>
      <c r="P141" s="55"/>
    </row>
    <row r="142" spans="1:16" s="821" customFormat="1" ht="19.5" customHeight="1">
      <c r="A142" s="833"/>
      <c r="B142" s="85"/>
      <c r="C142" s="458">
        <v>2022</v>
      </c>
      <c r="D142" s="85"/>
      <c r="E142" s="834">
        <f t="shared" si="31"/>
        <v>0</v>
      </c>
      <c r="F142" s="731"/>
      <c r="G142" s="731"/>
      <c r="H142" s="730">
        <f t="shared" si="30"/>
        <v>0</v>
      </c>
      <c r="I142" s="731"/>
      <c r="J142" s="735">
        <v>0</v>
      </c>
      <c r="K142" s="735"/>
      <c r="L142" s="711">
        <v>0</v>
      </c>
      <c r="M142" s="840"/>
      <c r="N142" s="817"/>
      <c r="O142" s="717" t="s">
        <v>182</v>
      </c>
      <c r="P142" s="55"/>
    </row>
    <row r="143" spans="1:16" s="821" customFormat="1" ht="19.5" customHeight="1">
      <c r="A143" s="833"/>
      <c r="B143" s="85"/>
      <c r="C143" s="458">
        <v>2023</v>
      </c>
      <c r="D143" s="85"/>
      <c r="E143" s="834">
        <f t="shared" si="31"/>
        <v>0</v>
      </c>
      <c r="F143" s="731"/>
      <c r="G143" s="731"/>
      <c r="H143" s="730">
        <f t="shared" si="30"/>
        <v>0</v>
      </c>
      <c r="I143" s="731"/>
      <c r="J143" s="735">
        <v>0</v>
      </c>
      <c r="K143" s="735"/>
      <c r="L143" s="711">
        <v>0</v>
      </c>
      <c r="M143" s="840"/>
      <c r="N143" s="817"/>
      <c r="O143" s="717"/>
      <c r="P143" s="55"/>
    </row>
    <row r="144" spans="1:16" s="821" customFormat="1" ht="19.5" customHeight="1">
      <c r="A144" s="833" t="s">
        <v>473</v>
      </c>
      <c r="B144" s="81" t="s">
        <v>474</v>
      </c>
      <c r="C144" s="458">
        <v>2017</v>
      </c>
      <c r="D144" s="458"/>
      <c r="E144" s="730">
        <f t="shared" si="31"/>
        <v>144.718</v>
      </c>
      <c r="F144" s="730"/>
      <c r="G144" s="458"/>
      <c r="H144" s="730">
        <f t="shared" si="30"/>
        <v>0</v>
      </c>
      <c r="I144" s="458"/>
      <c r="J144" s="735">
        <v>0</v>
      </c>
      <c r="K144" s="730"/>
      <c r="L144" s="711">
        <v>144.718</v>
      </c>
      <c r="M144" s="840"/>
      <c r="N144" s="817"/>
      <c r="O144" s="717" t="s">
        <v>432</v>
      </c>
      <c r="P144" s="55"/>
    </row>
    <row r="145" spans="1:16" s="821" customFormat="1" ht="19.5" customHeight="1">
      <c r="A145" s="833"/>
      <c r="B145" s="81"/>
      <c r="C145" s="458">
        <v>2018</v>
      </c>
      <c r="D145" s="458"/>
      <c r="E145" s="730">
        <f t="shared" si="31"/>
        <v>0</v>
      </c>
      <c r="F145" s="730"/>
      <c r="G145" s="458"/>
      <c r="H145" s="730">
        <f t="shared" si="30"/>
        <v>0</v>
      </c>
      <c r="I145" s="458"/>
      <c r="J145" s="735">
        <v>0</v>
      </c>
      <c r="K145" s="731"/>
      <c r="L145" s="711">
        <v>0</v>
      </c>
      <c r="M145" s="711"/>
      <c r="N145" s="845"/>
      <c r="O145" s="85"/>
      <c r="P145" s="55"/>
    </row>
    <row r="146" spans="1:16" s="821" customFormat="1" ht="19.5" customHeight="1">
      <c r="A146" s="833"/>
      <c r="B146" s="81"/>
      <c r="C146" s="458">
        <v>2019</v>
      </c>
      <c r="D146" s="458"/>
      <c r="E146" s="730">
        <f>L146</f>
        <v>0</v>
      </c>
      <c r="F146" s="730"/>
      <c r="G146" s="458"/>
      <c r="H146" s="730">
        <f t="shared" si="30"/>
        <v>0</v>
      </c>
      <c r="I146" s="458"/>
      <c r="J146" s="735">
        <v>0</v>
      </c>
      <c r="K146" s="731"/>
      <c r="L146" s="711">
        <v>0</v>
      </c>
      <c r="M146" s="711"/>
      <c r="N146" s="817"/>
      <c r="O146" s="85"/>
      <c r="P146" s="55"/>
    </row>
    <row r="147" spans="1:16" s="821" customFormat="1" ht="19.5" customHeight="1">
      <c r="A147" s="833"/>
      <c r="B147" s="81"/>
      <c r="C147" s="52">
        <v>2020</v>
      </c>
      <c r="D147" s="52"/>
      <c r="E147" s="834">
        <v>0</v>
      </c>
      <c r="F147" s="834"/>
      <c r="G147" s="52"/>
      <c r="H147" s="834">
        <f t="shared" si="30"/>
        <v>0</v>
      </c>
      <c r="I147" s="52"/>
      <c r="J147" s="836">
        <v>0</v>
      </c>
      <c r="K147" s="834"/>
      <c r="L147" s="839">
        <v>0</v>
      </c>
      <c r="M147" s="839"/>
      <c r="N147" s="52"/>
      <c r="O147" s="78"/>
      <c r="P147" s="55"/>
    </row>
    <row r="148" spans="1:16" s="821" customFormat="1" ht="19.5" customHeight="1">
      <c r="A148" s="833"/>
      <c r="B148" s="81"/>
      <c r="C148" s="458">
        <v>2021</v>
      </c>
      <c r="D148" s="458"/>
      <c r="E148" s="846">
        <v>0</v>
      </c>
      <c r="F148" s="730"/>
      <c r="G148" s="458"/>
      <c r="H148" s="730">
        <f t="shared" si="30"/>
        <v>0</v>
      </c>
      <c r="I148" s="458"/>
      <c r="J148" s="735">
        <v>0</v>
      </c>
      <c r="K148" s="735"/>
      <c r="L148" s="711">
        <v>0</v>
      </c>
      <c r="M148" s="840"/>
      <c r="N148" s="817"/>
      <c r="O148" s="85"/>
      <c r="P148" s="55"/>
    </row>
    <row r="149" spans="1:16" s="821" customFormat="1" ht="19.5" customHeight="1">
      <c r="A149" s="833"/>
      <c r="B149" s="81"/>
      <c r="C149" s="458">
        <v>2022</v>
      </c>
      <c r="D149" s="458"/>
      <c r="E149" s="846">
        <v>0</v>
      </c>
      <c r="F149" s="730"/>
      <c r="G149" s="458"/>
      <c r="H149" s="730">
        <f t="shared" si="30"/>
        <v>0</v>
      </c>
      <c r="I149" s="458"/>
      <c r="J149" s="735">
        <v>0</v>
      </c>
      <c r="K149" s="735"/>
      <c r="L149" s="711">
        <v>0</v>
      </c>
      <c r="M149" s="840"/>
      <c r="N149" s="817"/>
      <c r="O149" s="85"/>
      <c r="P149" s="55"/>
    </row>
    <row r="150" spans="1:16" s="821" customFormat="1" ht="19.5" customHeight="1">
      <c r="A150" s="833"/>
      <c r="B150" s="81"/>
      <c r="C150" s="458">
        <v>2023</v>
      </c>
      <c r="D150" s="458"/>
      <c r="E150" s="846">
        <v>0</v>
      </c>
      <c r="F150" s="730"/>
      <c r="G150" s="458"/>
      <c r="H150" s="730">
        <f t="shared" si="30"/>
        <v>0</v>
      </c>
      <c r="I150" s="458"/>
      <c r="J150" s="735">
        <v>0</v>
      </c>
      <c r="K150" s="735"/>
      <c r="L150" s="711">
        <v>0</v>
      </c>
      <c r="M150" s="840"/>
      <c r="N150" s="817"/>
      <c r="O150" s="85"/>
      <c r="P150" s="55"/>
    </row>
    <row r="151" spans="1:16" s="821" customFormat="1" ht="48.75" customHeight="1">
      <c r="A151" s="833" t="s">
        <v>475</v>
      </c>
      <c r="B151" s="81" t="s">
        <v>476</v>
      </c>
      <c r="C151" s="52">
        <v>2019</v>
      </c>
      <c r="D151" s="458"/>
      <c r="E151" s="834">
        <f aca="true" t="shared" si="32" ref="E151:E158">G151+H151+L151+N151</f>
        <v>45</v>
      </c>
      <c r="F151" s="834"/>
      <c r="G151" s="52"/>
      <c r="H151" s="834">
        <f t="shared" si="30"/>
        <v>0</v>
      </c>
      <c r="I151" s="52"/>
      <c r="J151" s="836">
        <v>0</v>
      </c>
      <c r="K151" s="836"/>
      <c r="L151" s="839">
        <f>80-35</f>
        <v>45</v>
      </c>
      <c r="M151" s="840"/>
      <c r="N151" s="817"/>
      <c r="O151" s="85" t="s">
        <v>477</v>
      </c>
      <c r="P151" s="706"/>
    </row>
    <row r="152" spans="1:16" s="821" customFormat="1" ht="22.5" customHeight="1">
      <c r="A152" s="833" t="s">
        <v>478</v>
      </c>
      <c r="B152" s="81" t="s">
        <v>445</v>
      </c>
      <c r="C152" s="52">
        <v>2019</v>
      </c>
      <c r="D152" s="458"/>
      <c r="E152" s="834">
        <f t="shared" si="32"/>
        <v>206.574</v>
      </c>
      <c r="F152" s="834"/>
      <c r="G152" s="52"/>
      <c r="H152" s="834">
        <f t="shared" si="30"/>
        <v>0</v>
      </c>
      <c r="I152" s="52"/>
      <c r="J152" s="836">
        <v>0</v>
      </c>
      <c r="K152" s="836"/>
      <c r="L152" s="839">
        <f>100+106.574</f>
        <v>206.574</v>
      </c>
      <c r="M152" s="839"/>
      <c r="N152" s="52"/>
      <c r="O152" s="718" t="s">
        <v>477</v>
      </c>
      <c r="P152" s="706"/>
    </row>
    <row r="153" spans="1:16" s="821" customFormat="1" ht="22.5" customHeight="1">
      <c r="A153" s="833"/>
      <c r="B153" s="81"/>
      <c r="C153" s="52">
        <v>2020</v>
      </c>
      <c r="D153" s="458"/>
      <c r="E153" s="834">
        <f t="shared" si="32"/>
        <v>269.987</v>
      </c>
      <c r="F153" s="834"/>
      <c r="G153" s="52"/>
      <c r="H153" s="834">
        <f t="shared" si="30"/>
        <v>0</v>
      </c>
      <c r="I153" s="52"/>
      <c r="J153" s="836"/>
      <c r="K153" s="836"/>
      <c r="L153" s="839">
        <f>270-0.013</f>
        <v>269.987</v>
      </c>
      <c r="M153" s="839"/>
      <c r="N153" s="52"/>
      <c r="O153" s="718" t="s">
        <v>479</v>
      </c>
      <c r="P153" s="706"/>
    </row>
    <row r="154" spans="1:16" s="821" customFormat="1" ht="37.5" customHeight="1">
      <c r="A154" s="833" t="s">
        <v>480</v>
      </c>
      <c r="B154" s="81" t="s">
        <v>481</v>
      </c>
      <c r="C154" s="52">
        <v>2020</v>
      </c>
      <c r="D154" s="458"/>
      <c r="E154" s="834">
        <f t="shared" si="32"/>
        <v>200</v>
      </c>
      <c r="F154" s="834"/>
      <c r="G154" s="52"/>
      <c r="H154" s="834">
        <f t="shared" si="30"/>
        <v>0</v>
      </c>
      <c r="I154" s="52"/>
      <c r="J154" s="836"/>
      <c r="K154" s="836"/>
      <c r="L154" s="839">
        <v>200</v>
      </c>
      <c r="M154" s="839"/>
      <c r="N154" s="52"/>
      <c r="O154" s="718" t="s">
        <v>477</v>
      </c>
      <c r="P154" s="706"/>
    </row>
    <row r="155" spans="1:16" s="821" customFormat="1" ht="35.25" customHeight="1">
      <c r="A155" s="847" t="s">
        <v>482</v>
      </c>
      <c r="B155" s="81" t="s">
        <v>483</v>
      </c>
      <c r="C155" s="52">
        <v>2020</v>
      </c>
      <c r="D155" s="458"/>
      <c r="E155" s="834">
        <f t="shared" si="32"/>
        <v>1149.5</v>
      </c>
      <c r="F155" s="834"/>
      <c r="G155" s="52"/>
      <c r="H155" s="834">
        <f t="shared" si="30"/>
        <v>1000</v>
      </c>
      <c r="I155" s="52"/>
      <c r="J155" s="836">
        <v>1000</v>
      </c>
      <c r="K155" s="836"/>
      <c r="L155" s="839">
        <v>149.5</v>
      </c>
      <c r="M155" s="839"/>
      <c r="N155" s="52"/>
      <c r="O155" s="718" t="s">
        <v>484</v>
      </c>
      <c r="P155" s="706"/>
    </row>
    <row r="156" spans="1:16" s="821" customFormat="1" ht="96" customHeight="1">
      <c r="A156" s="847" t="s">
        <v>485</v>
      </c>
      <c r="B156" s="81" t="s">
        <v>486</v>
      </c>
      <c r="C156" s="52">
        <v>2021</v>
      </c>
      <c r="D156" s="458"/>
      <c r="E156" s="834">
        <f t="shared" si="32"/>
        <v>136.8</v>
      </c>
      <c r="F156" s="834"/>
      <c r="G156" s="52"/>
      <c r="H156" s="834">
        <f t="shared" si="30"/>
        <v>0</v>
      </c>
      <c r="I156" s="52"/>
      <c r="J156" s="836">
        <v>0</v>
      </c>
      <c r="K156" s="836"/>
      <c r="L156" s="839">
        <v>136.8</v>
      </c>
      <c r="M156" s="839"/>
      <c r="N156" s="52"/>
      <c r="O156" s="718" t="s">
        <v>63</v>
      </c>
      <c r="P156" s="706"/>
    </row>
    <row r="157" spans="1:16" s="821" customFormat="1" ht="19.5" customHeight="1">
      <c r="A157" s="831" t="s">
        <v>338</v>
      </c>
      <c r="B157" s="831"/>
      <c r="C157" s="458">
        <v>2017</v>
      </c>
      <c r="D157" s="458"/>
      <c r="E157" s="705">
        <f t="shared" si="32"/>
        <v>8294.948</v>
      </c>
      <c r="F157" s="705"/>
      <c r="G157" s="742">
        <f>G90+G103+G104+G124+G133+G134+G144+G148+G149</f>
        <v>0</v>
      </c>
      <c r="H157" s="730">
        <f t="shared" si="30"/>
        <v>400</v>
      </c>
      <c r="I157" s="742">
        <f>I90+I103+I104+I124+I133+I134+I144+I148+I149</f>
        <v>0</v>
      </c>
      <c r="J157" s="705">
        <v>400</v>
      </c>
      <c r="K157" s="848"/>
      <c r="L157" s="742">
        <v>7094.948</v>
      </c>
      <c r="M157" s="711"/>
      <c r="N157" s="742">
        <f>N88+N103+N123+N132+N133+N144</f>
        <v>800</v>
      </c>
      <c r="O157" s="81"/>
      <c r="P157" s="706"/>
    </row>
    <row r="158" spans="1:16" s="821" customFormat="1" ht="19.5" customHeight="1">
      <c r="A158" s="831"/>
      <c r="B158" s="831"/>
      <c r="C158" s="458">
        <v>2018</v>
      </c>
      <c r="D158" s="458"/>
      <c r="E158" s="705">
        <f t="shared" si="32"/>
        <v>8811.06237</v>
      </c>
      <c r="F158" s="705"/>
      <c r="G158" s="742">
        <f>G91+G104+G105+G125+G134+G135+G145+G149+G151</f>
        <v>0</v>
      </c>
      <c r="H158" s="742">
        <f>H91+H104+H123+H134</f>
        <v>683</v>
      </c>
      <c r="I158" s="742">
        <f>I91+I104+I105+I125+I134+I135+I145+I149+I151</f>
        <v>0</v>
      </c>
      <c r="J158" s="742">
        <f>J91+J104+J123+J134</f>
        <v>683</v>
      </c>
      <c r="K158" s="742">
        <f>K91+K104+K123+K134</f>
        <v>0</v>
      </c>
      <c r="L158" s="742">
        <f>L91+L104+L123+L134</f>
        <v>7013.28837</v>
      </c>
      <c r="M158" s="711"/>
      <c r="N158" s="742">
        <f>N91+N104+N123+N134+N145</f>
        <v>1114.774</v>
      </c>
      <c r="O158" s="81"/>
      <c r="P158" s="706"/>
    </row>
    <row r="159" spans="1:16" s="821" customFormat="1" ht="19.5" customHeight="1">
      <c r="A159" s="831"/>
      <c r="B159" s="831"/>
      <c r="C159" s="458">
        <v>2019</v>
      </c>
      <c r="D159" s="458"/>
      <c r="E159" s="742">
        <f>E92+E105+E106+E126+E135+E136+E146+E151+E152</f>
        <v>10170.508520000001</v>
      </c>
      <c r="F159" s="742">
        <f>F92+F105+F106+F126+F135+F136+F146+F151+F152</f>
        <v>0</v>
      </c>
      <c r="G159" s="742">
        <f>G92+G105+G106+G126+G135+G136+G146+G151+G152</f>
        <v>0</v>
      </c>
      <c r="H159" s="742">
        <f>H92+H105+H106+H126+H135+H136+H146+H151+H152</f>
        <v>597.503</v>
      </c>
      <c r="I159" s="742">
        <f>I92+I105+I106+I126+I135+I136+I146+I151+I152</f>
        <v>0</v>
      </c>
      <c r="J159" s="742">
        <f>J92+J105+J106+J126+J135+J136+J146+J151+J152</f>
        <v>597.503</v>
      </c>
      <c r="K159" s="742">
        <f>K92+K105+K106+K126+K135+K136+K146+K151+K152</f>
        <v>0</v>
      </c>
      <c r="L159" s="742">
        <f>L92+L105+L106+L126+L135+L136+L146+L151+L152</f>
        <v>8062.6255200000005</v>
      </c>
      <c r="M159" s="742">
        <f>M92+M105+M106+M126+M135+M136+M146+M151+M152</f>
        <v>0</v>
      </c>
      <c r="N159" s="742">
        <f>N92+N105+N106+N126+N135+N136+N146+N151+N152</f>
        <v>1510.38</v>
      </c>
      <c r="O159" s="81"/>
      <c r="P159" s="706"/>
    </row>
    <row r="160" spans="1:16" s="821" customFormat="1" ht="19.5" customHeight="1">
      <c r="A160" s="831"/>
      <c r="B160" s="831"/>
      <c r="C160" s="458">
        <v>2020</v>
      </c>
      <c r="D160" s="458"/>
      <c r="E160" s="742">
        <f>E93+E94+E107+E108+E109+E127+E137+E138+E147+E154+E153+E155</f>
        <v>5651.35581</v>
      </c>
      <c r="F160" s="742">
        <f>F93+F94+F107+F108+F109+F127+F137+F138+F147+F154+F153+F155</f>
        <v>0</v>
      </c>
      <c r="G160" s="742">
        <f>G93+G94+G107+G108+G109+G127+G137+G138+G147+G154+G153+G155</f>
        <v>0</v>
      </c>
      <c r="H160" s="742">
        <f>H93+H94+H107+H108+H109+H127+H137+H138+H147+H154+H153+H155</f>
        <v>1000</v>
      </c>
      <c r="I160" s="742">
        <f>I93+I94+I107+I108+I109+I127+I137+I138+I147+I154+I153+I155</f>
        <v>0</v>
      </c>
      <c r="J160" s="742">
        <f>J93+J94+J107+J108+J109+J127+J137+J138+J147+J154+J153+J155</f>
        <v>1000</v>
      </c>
      <c r="K160" s="742">
        <f>K93+K94+K107+K108+K109+K127+K137+K138+K147+K154+K153+K155</f>
        <v>0</v>
      </c>
      <c r="L160" s="742">
        <f>L93+L94+L107+L108+L109+L127+L137+L138+L147+L154+L153+L155</f>
        <v>4651.35581</v>
      </c>
      <c r="M160" s="742">
        <f>M93+M94+M107+M108+M109+M127+M137+M138+M147+M154+M153+M155</f>
        <v>0</v>
      </c>
      <c r="N160" s="742">
        <f>N93+N94+N107+N108+N109+N127+N137+N138+N147+N154+N153+N155</f>
        <v>0</v>
      </c>
      <c r="O160" s="81"/>
      <c r="P160" s="706"/>
    </row>
    <row r="161" spans="1:16" s="821" customFormat="1" ht="19.5" customHeight="1">
      <c r="A161" s="831"/>
      <c r="B161" s="831"/>
      <c r="C161" s="458">
        <v>2021</v>
      </c>
      <c r="D161" s="458"/>
      <c r="E161" s="742">
        <f>E95+E96+E110+E128+E139+E148+E156</f>
        <v>5845.31882</v>
      </c>
      <c r="F161" s="742">
        <f>F95+F96+F110+F128+F139+F148</f>
        <v>0</v>
      </c>
      <c r="G161" s="742">
        <f>G95+G96+G110+G128+G139+G148</f>
        <v>0</v>
      </c>
      <c r="H161" s="742">
        <f>H95+H96+H110+H128+H141+H148+H140+H156</f>
        <v>290.4</v>
      </c>
      <c r="I161" s="742">
        <f>I95+I96+I110+I128+I139+I148</f>
        <v>0</v>
      </c>
      <c r="J161" s="742">
        <f>J95+J96+J110+J128+J141+J148+J140+J156</f>
        <v>290.4</v>
      </c>
      <c r="K161" s="742">
        <f>K95+K96+K110+K128+K139+K148</f>
        <v>0</v>
      </c>
      <c r="L161" s="742">
        <f>L95+L96+L110+L128+L141+L148+L140+L156</f>
        <v>5086.91882</v>
      </c>
      <c r="M161" s="742">
        <f>M95+M96+M110+M128+M139+M148</f>
        <v>0</v>
      </c>
      <c r="N161" s="742">
        <f>N95+N96+N110+N128+N139+N148</f>
        <v>468</v>
      </c>
      <c r="O161" s="81"/>
      <c r="P161" s="706"/>
    </row>
    <row r="162" spans="1:16" ht="19.5" customHeight="1">
      <c r="A162" s="831"/>
      <c r="B162" s="831"/>
      <c r="C162" s="458">
        <v>2022</v>
      </c>
      <c r="D162" s="458"/>
      <c r="E162" s="742">
        <f aca="true" t="shared" si="33" ref="E162:E164">G162+H162+L162+N162</f>
        <v>7604.885</v>
      </c>
      <c r="F162" s="742">
        <f>F97+F98+F113+F129+F142+F149</f>
        <v>0</v>
      </c>
      <c r="G162" s="742">
        <f>G97+G98+G113+G129+G142+G149</f>
        <v>0</v>
      </c>
      <c r="H162" s="742">
        <f>H97+H98+H113+H129+H142+H149</f>
        <v>2010</v>
      </c>
      <c r="I162" s="742">
        <f>I97+I98+I113+I129+I142+I149</f>
        <v>0</v>
      </c>
      <c r="J162" s="742">
        <f>J97+J98+J113+J129+J142+J149</f>
        <v>2010</v>
      </c>
      <c r="K162" s="742">
        <f>K97+K98+K113+K129+K142+K149</f>
        <v>0</v>
      </c>
      <c r="L162" s="742">
        <f>L97+L98+L113+L129+L142+L149+L114</f>
        <v>4550.885</v>
      </c>
      <c r="M162" s="742">
        <f>M97+M98+M113+M129+M142+M149</f>
        <v>0</v>
      </c>
      <c r="N162" s="742">
        <f>N97+N98+N113+N129+N142+N149</f>
        <v>1044</v>
      </c>
      <c r="O162" s="81"/>
      <c r="P162" s="706"/>
    </row>
    <row r="163" spans="1:16" ht="19.5" customHeight="1">
      <c r="A163" s="831"/>
      <c r="B163" s="831"/>
      <c r="C163" s="458">
        <v>2023</v>
      </c>
      <c r="D163" s="458"/>
      <c r="E163" s="742">
        <f t="shared" si="33"/>
        <v>4667.418</v>
      </c>
      <c r="F163" s="742"/>
      <c r="G163" s="742">
        <f aca="true" t="shared" si="34" ref="G163:G164">G98+G99+G114+G131+G143+G150</f>
        <v>0</v>
      </c>
      <c r="H163" s="742">
        <f aca="true" t="shared" si="35" ref="H163:H164">J163</f>
        <v>2010</v>
      </c>
      <c r="I163" s="742">
        <v>0</v>
      </c>
      <c r="J163" s="742">
        <f>J98+J99+J114+J130+J143+J150+J116</f>
        <v>2010</v>
      </c>
      <c r="K163" s="742">
        <f>K99+K100+K116</f>
        <v>0</v>
      </c>
      <c r="L163" s="742">
        <f>L99+L100+L116+L117+L130+L143</f>
        <v>2657.418</v>
      </c>
      <c r="M163" s="742"/>
      <c r="N163" s="742">
        <v>0</v>
      </c>
      <c r="O163" s="81"/>
      <c r="P163" s="706"/>
    </row>
    <row r="164" spans="1:16" ht="19.5" customHeight="1">
      <c r="A164" s="831"/>
      <c r="B164" s="831"/>
      <c r="C164" s="458">
        <v>2024</v>
      </c>
      <c r="D164" s="458"/>
      <c r="E164" s="742">
        <f t="shared" si="33"/>
        <v>4667.418</v>
      </c>
      <c r="F164" s="742"/>
      <c r="G164" s="742">
        <f t="shared" si="34"/>
        <v>0</v>
      </c>
      <c r="H164" s="742">
        <f t="shared" si="35"/>
        <v>2010</v>
      </c>
      <c r="I164" s="742">
        <f>I101+I102+I119</f>
        <v>0</v>
      </c>
      <c r="J164" s="742">
        <f>J99+J100+J115+J131+J144+J151+J117+J119</f>
        <v>2010</v>
      </c>
      <c r="K164" s="742">
        <f>K101+K102+K119</f>
        <v>0</v>
      </c>
      <c r="L164" s="742">
        <f>L101+L102+L119+L131+L120</f>
        <v>2657.418</v>
      </c>
      <c r="M164" s="742"/>
      <c r="N164" s="742">
        <v>0</v>
      </c>
      <c r="O164" s="81"/>
      <c r="P164" s="706"/>
    </row>
    <row r="165" spans="1:16" ht="16.5" customHeight="1">
      <c r="A165" s="849"/>
      <c r="B165" s="849"/>
      <c r="C165" s="849"/>
      <c r="D165" s="849"/>
      <c r="E165" s="849"/>
      <c r="F165" s="849"/>
      <c r="G165" s="849"/>
      <c r="H165" s="849"/>
      <c r="I165" s="849"/>
      <c r="J165" s="849"/>
      <c r="K165" s="849"/>
      <c r="L165" s="849"/>
      <c r="M165" s="849"/>
      <c r="N165" s="849"/>
      <c r="O165" s="849"/>
      <c r="P165" s="849"/>
    </row>
    <row r="166" spans="1:16" ht="21.75" customHeight="1">
      <c r="A166" s="850" t="s">
        <v>487</v>
      </c>
      <c r="B166" s="850"/>
      <c r="C166" s="817" t="s">
        <v>366</v>
      </c>
      <c r="D166" s="817"/>
      <c r="E166" s="742">
        <f>E167+E168+E169+E170+E171+E172+E174+E173</f>
        <v>69179.35802</v>
      </c>
      <c r="F166" s="742">
        <f>F167+F168+F169+F170+F171+F172+F174+F173</f>
        <v>0</v>
      </c>
      <c r="G166" s="742">
        <f>G167+G168+G169+G170+G171+G172+G174+G173</f>
        <v>0</v>
      </c>
      <c r="H166" s="742">
        <f>H167+H168+H169+H170+H171+H172+H174+H173</f>
        <v>18499.614</v>
      </c>
      <c r="I166" s="742">
        <f>I167+I168+I169+I170+I171+I172+I174+I173</f>
        <v>0</v>
      </c>
      <c r="J166" s="742">
        <f>J167+J168+J169+J170+J171+J172+J174+J173</f>
        <v>18499.614</v>
      </c>
      <c r="K166" s="742">
        <f>K167+K168+K169+K170+K171+K172+K174+K173</f>
        <v>0</v>
      </c>
      <c r="L166" s="742">
        <f>L167+L168+L169+L170+L171+L172+L174+L173</f>
        <v>45289.59002</v>
      </c>
      <c r="M166" s="742">
        <f>M167+M168+M169+M170+M171+M172+M174+M173</f>
        <v>0</v>
      </c>
      <c r="N166" s="742">
        <f>N167+N168+N169+N170+N171+N172+N174+N173</f>
        <v>5390.154</v>
      </c>
      <c r="O166" s="81"/>
      <c r="P166" s="706"/>
    </row>
    <row r="167" spans="1:16" ht="17.25" customHeight="1">
      <c r="A167" s="850"/>
      <c r="B167" s="850"/>
      <c r="C167" s="458">
        <v>2017</v>
      </c>
      <c r="D167" s="817"/>
      <c r="E167" s="742">
        <f aca="true" t="shared" si="36" ref="E167:E168">G167+H167+L167+N167</f>
        <v>9891.71</v>
      </c>
      <c r="F167" s="742"/>
      <c r="G167" s="742">
        <v>0</v>
      </c>
      <c r="H167" s="742">
        <f aca="true" t="shared" si="37" ref="H167:H168">I167+J167</f>
        <v>1397</v>
      </c>
      <c r="I167" s="742">
        <f aca="true" t="shared" si="38" ref="I167:I173">I45+I77+I157</f>
        <v>0</v>
      </c>
      <c r="J167" s="742">
        <f>J45+J77+J157</f>
        <v>1397</v>
      </c>
      <c r="K167" s="742">
        <f>K45+K77+K157</f>
        <v>0</v>
      </c>
      <c r="L167" s="742">
        <f aca="true" t="shared" si="39" ref="L167:L173">L45+L77+L157</f>
        <v>7569.71</v>
      </c>
      <c r="M167" s="742">
        <f>M45+M77+M157</f>
        <v>0</v>
      </c>
      <c r="N167" s="742">
        <f aca="true" t="shared" si="40" ref="N167:N173">N45+N77+N157</f>
        <v>925</v>
      </c>
      <c r="O167" s="81"/>
      <c r="P167" s="706"/>
    </row>
    <row r="168" spans="1:16" ht="18" customHeight="1">
      <c r="A168" s="850"/>
      <c r="B168" s="850"/>
      <c r="C168" s="458">
        <v>2018</v>
      </c>
      <c r="D168" s="817"/>
      <c r="E168" s="742">
        <f t="shared" si="36"/>
        <v>10539.54337</v>
      </c>
      <c r="F168" s="742"/>
      <c r="G168" s="742">
        <v>0</v>
      </c>
      <c r="H168" s="742">
        <f t="shared" si="37"/>
        <v>1698</v>
      </c>
      <c r="I168" s="742">
        <f t="shared" si="38"/>
        <v>0</v>
      </c>
      <c r="J168" s="742">
        <v>1698</v>
      </c>
      <c r="K168" s="742"/>
      <c r="L168" s="742">
        <f t="shared" si="39"/>
        <v>7523.76937</v>
      </c>
      <c r="M168" s="742"/>
      <c r="N168" s="742">
        <f t="shared" si="40"/>
        <v>1317.774</v>
      </c>
      <c r="O168" s="81"/>
      <c r="P168" s="706"/>
    </row>
    <row r="169" spans="1:16" ht="19.5" customHeight="1">
      <c r="A169" s="850"/>
      <c r="B169" s="850"/>
      <c r="C169" s="458">
        <v>2019</v>
      </c>
      <c r="D169" s="817"/>
      <c r="E169" s="742">
        <f aca="true" t="shared" si="41" ref="E169:E174">E47+E79+E159</f>
        <v>11919.83652</v>
      </c>
      <c r="F169" s="742">
        <f aca="true" t="shared" si="42" ref="F169:F172">F47+F79+F159</f>
        <v>0</v>
      </c>
      <c r="G169" s="742">
        <f aca="true" t="shared" si="43" ref="G169:G173">G47+G79+G159</f>
        <v>0</v>
      </c>
      <c r="H169" s="742">
        <f aca="true" t="shared" si="44" ref="H169:H174">H47+H79+H159</f>
        <v>1694.5840000000003</v>
      </c>
      <c r="I169" s="742">
        <f t="shared" si="38"/>
        <v>0</v>
      </c>
      <c r="J169" s="742">
        <f aca="true" t="shared" si="45" ref="J169:J173">J47+J79+J159</f>
        <v>1694.5840000000003</v>
      </c>
      <c r="K169" s="742">
        <f aca="true" t="shared" si="46" ref="K169:K172">K47+K79+K159</f>
        <v>0</v>
      </c>
      <c r="L169" s="742">
        <f t="shared" si="39"/>
        <v>8589.87252</v>
      </c>
      <c r="M169" s="742">
        <f aca="true" t="shared" si="47" ref="M169:M172">M47+M79+M159</f>
        <v>0</v>
      </c>
      <c r="N169" s="742">
        <f t="shared" si="40"/>
        <v>1635.38</v>
      </c>
      <c r="O169" s="81"/>
      <c r="P169" s="706"/>
    </row>
    <row r="170" spans="1:16" ht="19.5" customHeight="1">
      <c r="A170" s="850"/>
      <c r="B170" s="850"/>
      <c r="C170" s="851">
        <v>2020</v>
      </c>
      <c r="D170" s="851"/>
      <c r="E170" s="742">
        <f t="shared" si="41"/>
        <v>7056.05581</v>
      </c>
      <c r="F170" s="742">
        <f t="shared" si="42"/>
        <v>0</v>
      </c>
      <c r="G170" s="742">
        <f t="shared" si="43"/>
        <v>0</v>
      </c>
      <c r="H170" s="742">
        <f t="shared" si="44"/>
        <v>2135.1</v>
      </c>
      <c r="I170" s="742">
        <f t="shared" si="38"/>
        <v>0</v>
      </c>
      <c r="J170" s="742">
        <f t="shared" si="45"/>
        <v>2135.1</v>
      </c>
      <c r="K170" s="742">
        <f t="shared" si="46"/>
        <v>0</v>
      </c>
      <c r="L170" s="742">
        <f t="shared" si="39"/>
        <v>4920.95581</v>
      </c>
      <c r="M170" s="742">
        <f t="shared" si="47"/>
        <v>0</v>
      </c>
      <c r="N170" s="742">
        <f t="shared" si="40"/>
        <v>0</v>
      </c>
      <c r="O170" s="81"/>
      <c r="P170" s="706"/>
    </row>
    <row r="171" spans="1:16" ht="19.5" customHeight="1">
      <c r="A171" s="850"/>
      <c r="B171" s="850"/>
      <c r="C171" s="851">
        <v>2021</v>
      </c>
      <c r="D171" s="851"/>
      <c r="E171" s="742">
        <f t="shared" si="41"/>
        <v>7997.59132</v>
      </c>
      <c r="F171" s="742">
        <f t="shared" si="42"/>
        <v>0</v>
      </c>
      <c r="G171" s="742">
        <f t="shared" si="43"/>
        <v>0</v>
      </c>
      <c r="H171" s="742">
        <f t="shared" si="44"/>
        <v>1751.9299999999998</v>
      </c>
      <c r="I171" s="742">
        <f t="shared" si="38"/>
        <v>0</v>
      </c>
      <c r="J171" s="742">
        <f t="shared" si="45"/>
        <v>1751.9299999999998</v>
      </c>
      <c r="K171" s="742">
        <f t="shared" si="46"/>
        <v>0</v>
      </c>
      <c r="L171" s="742">
        <f t="shared" si="39"/>
        <v>5777.66132</v>
      </c>
      <c r="M171" s="742">
        <f t="shared" si="47"/>
        <v>0</v>
      </c>
      <c r="N171" s="742">
        <f t="shared" si="40"/>
        <v>468</v>
      </c>
      <c r="O171" s="81"/>
      <c r="P171" s="706"/>
    </row>
    <row r="172" spans="1:16" ht="18.75" customHeight="1">
      <c r="A172" s="850"/>
      <c r="B172" s="850"/>
      <c r="C172" s="851">
        <v>2022</v>
      </c>
      <c r="D172" s="851"/>
      <c r="E172" s="742">
        <f t="shared" si="41"/>
        <v>9549.685</v>
      </c>
      <c r="F172" s="742">
        <f t="shared" si="42"/>
        <v>0</v>
      </c>
      <c r="G172" s="742">
        <f t="shared" si="43"/>
        <v>0</v>
      </c>
      <c r="H172" s="742">
        <f t="shared" si="44"/>
        <v>3271</v>
      </c>
      <c r="I172" s="742">
        <f t="shared" si="38"/>
        <v>0</v>
      </c>
      <c r="J172" s="742">
        <f t="shared" si="45"/>
        <v>3271</v>
      </c>
      <c r="K172" s="742">
        <f t="shared" si="46"/>
        <v>0</v>
      </c>
      <c r="L172" s="742">
        <f t="shared" si="39"/>
        <v>5234.685</v>
      </c>
      <c r="M172" s="742">
        <f t="shared" si="47"/>
        <v>0</v>
      </c>
      <c r="N172" s="742">
        <f t="shared" si="40"/>
        <v>1044</v>
      </c>
      <c r="O172" s="81"/>
      <c r="P172" s="706"/>
    </row>
    <row r="173" spans="1:16" ht="18.75" customHeight="1">
      <c r="A173" s="850"/>
      <c r="B173" s="850"/>
      <c r="C173" s="852">
        <v>2023</v>
      </c>
      <c r="D173" s="852"/>
      <c r="E173" s="742">
        <f t="shared" si="41"/>
        <v>6112.468</v>
      </c>
      <c r="F173" s="853"/>
      <c r="G173" s="742">
        <f t="shared" si="43"/>
        <v>0</v>
      </c>
      <c r="H173" s="742">
        <f t="shared" si="44"/>
        <v>3276</v>
      </c>
      <c r="I173" s="742">
        <f t="shared" si="38"/>
        <v>0</v>
      </c>
      <c r="J173" s="742">
        <f t="shared" si="45"/>
        <v>3276</v>
      </c>
      <c r="K173" s="853"/>
      <c r="L173" s="742">
        <f t="shared" si="39"/>
        <v>2836.4680000000003</v>
      </c>
      <c r="M173" s="853"/>
      <c r="N173" s="742">
        <f t="shared" si="40"/>
        <v>0</v>
      </c>
      <c r="O173" s="854"/>
      <c r="P173" s="855"/>
    </row>
    <row r="174" spans="1:16" ht="18.75" customHeight="1">
      <c r="A174" s="850"/>
      <c r="B174" s="850"/>
      <c r="C174" s="856">
        <v>2024</v>
      </c>
      <c r="D174" s="856"/>
      <c r="E174" s="742">
        <f t="shared" si="41"/>
        <v>6112.468</v>
      </c>
      <c r="F174" s="857">
        <f>F51+F83+F163</f>
        <v>0</v>
      </c>
      <c r="G174" s="857">
        <f>G51+G83+G163</f>
        <v>0</v>
      </c>
      <c r="H174" s="742">
        <f t="shared" si="44"/>
        <v>3276</v>
      </c>
      <c r="I174" s="857">
        <f>I51+I83+I163</f>
        <v>0</v>
      </c>
      <c r="J174" s="857">
        <f>J51+J83+J163</f>
        <v>3276</v>
      </c>
      <c r="K174" s="857">
        <f>K51+K83+K163</f>
        <v>0</v>
      </c>
      <c r="L174" s="857">
        <f>L51+L83+L163</f>
        <v>2836.4680000000003</v>
      </c>
      <c r="M174" s="857">
        <f>M51+M83+M163</f>
        <v>0</v>
      </c>
      <c r="N174" s="857">
        <f>N51+N83+N163</f>
        <v>0</v>
      </c>
      <c r="O174" s="858"/>
      <c r="P174" s="859"/>
    </row>
    <row r="175" spans="2:10" ht="12.75" customHeight="1">
      <c r="B175" s="860"/>
      <c r="C175" s="861"/>
      <c r="D175" s="861"/>
      <c r="E175" s="861"/>
      <c r="F175" s="861"/>
      <c r="G175" s="861"/>
      <c r="H175" s="861"/>
      <c r="I175" s="861"/>
      <c r="J175" s="860"/>
    </row>
    <row r="176" spans="2:10" ht="12.75" customHeight="1">
      <c r="B176" s="860"/>
      <c r="C176" s="861"/>
      <c r="D176" s="861"/>
      <c r="E176" s="861"/>
      <c r="F176" s="861"/>
      <c r="G176" s="861"/>
      <c r="H176" s="861"/>
      <c r="I176" s="861"/>
      <c r="J176" s="860"/>
    </row>
    <row r="177" spans="2:10" ht="12.75" customHeight="1">
      <c r="B177" s="860"/>
      <c r="C177" s="861"/>
      <c r="D177" s="861"/>
      <c r="E177" s="861"/>
      <c r="F177" s="861"/>
      <c r="G177" s="861"/>
      <c r="H177" s="861"/>
      <c r="I177" s="861"/>
      <c r="J177" s="860">
        <v>3</v>
      </c>
    </row>
    <row r="178" spans="2:10" ht="12.75" customHeight="1">
      <c r="B178" s="860"/>
      <c r="C178" s="861"/>
      <c r="D178" s="861"/>
      <c r="E178" s="861"/>
      <c r="F178" s="861"/>
      <c r="G178" s="861"/>
      <c r="H178" s="861"/>
      <c r="I178" s="861"/>
      <c r="J178" s="860"/>
    </row>
    <row r="179" spans="2:10" ht="12.75" customHeight="1">
      <c r="B179" s="860"/>
      <c r="C179" s="861"/>
      <c r="D179" s="861"/>
      <c r="E179" s="861"/>
      <c r="F179" s="861"/>
      <c r="G179" s="861"/>
      <c r="H179" s="861"/>
      <c r="I179" s="861"/>
      <c r="J179" s="860"/>
    </row>
    <row r="180" spans="2:10" ht="12.75" customHeight="1">
      <c r="B180" s="860"/>
      <c r="C180" s="861"/>
      <c r="D180" s="861"/>
      <c r="E180" s="861"/>
      <c r="F180" s="861"/>
      <c r="G180" s="861"/>
      <c r="H180" s="862">
        <f>E172-N172</f>
        <v>8505.685</v>
      </c>
      <c r="I180" s="861"/>
      <c r="J180" s="860"/>
    </row>
    <row r="181" spans="2:10" ht="12.75" customHeight="1">
      <c r="B181" s="860"/>
      <c r="C181" s="861"/>
      <c r="D181" s="861"/>
      <c r="E181" s="861"/>
      <c r="F181" s="861"/>
      <c r="G181" s="861"/>
      <c r="H181" s="861"/>
      <c r="I181" s="861"/>
      <c r="J181" s="860"/>
    </row>
    <row r="182" spans="2:10" ht="12.75" customHeight="1">
      <c r="B182" s="860"/>
      <c r="C182" s="861"/>
      <c r="D182" s="861"/>
      <c r="E182" s="861"/>
      <c r="F182" s="861"/>
      <c r="G182" s="861"/>
      <c r="H182" s="861"/>
      <c r="I182" s="861"/>
      <c r="J182" s="860"/>
    </row>
    <row r="183" spans="2:10" ht="12.75" customHeight="1">
      <c r="B183" s="860"/>
      <c r="C183" s="861"/>
      <c r="D183" s="861"/>
      <c r="E183" s="861"/>
      <c r="F183" s="861"/>
      <c r="G183" s="861"/>
      <c r="H183" s="861"/>
      <c r="I183" s="861"/>
      <c r="J183" s="861"/>
    </row>
    <row r="184" spans="2:10" ht="12.75" customHeight="1">
      <c r="B184" s="860"/>
      <c r="C184" s="861"/>
      <c r="D184" s="861"/>
      <c r="E184" s="861"/>
      <c r="F184" s="861"/>
      <c r="G184" s="861"/>
      <c r="H184" s="861"/>
      <c r="I184" s="861"/>
      <c r="J184" s="861"/>
    </row>
    <row r="185" spans="2:10" ht="12.75" customHeight="1">
      <c r="B185" s="860"/>
      <c r="C185" s="861"/>
      <c r="D185" s="861"/>
      <c r="E185" s="861"/>
      <c r="F185" s="861"/>
      <c r="G185" s="861"/>
      <c r="H185" s="861"/>
      <c r="I185" s="861"/>
      <c r="J185" s="861"/>
    </row>
    <row r="186" spans="2:10" ht="12.75" customHeight="1">
      <c r="B186" s="860"/>
      <c r="C186" s="861"/>
      <c r="D186" s="861"/>
      <c r="E186" s="861"/>
      <c r="F186" s="861"/>
      <c r="G186" s="861"/>
      <c r="H186" s="861"/>
      <c r="I186" s="861"/>
      <c r="J186" s="861"/>
    </row>
    <row r="187" spans="2:10" ht="12.75" customHeight="1">
      <c r="B187" s="860"/>
      <c r="C187" s="861"/>
      <c r="D187" s="861"/>
      <c r="E187" s="861"/>
      <c r="F187" s="861"/>
      <c r="G187" s="861"/>
      <c r="H187" s="861"/>
      <c r="I187" s="861"/>
      <c r="J187" s="861"/>
    </row>
    <row r="188" spans="2:10" ht="12.75" customHeight="1">
      <c r="B188" s="860"/>
      <c r="C188" s="861"/>
      <c r="D188" s="861"/>
      <c r="E188" s="861"/>
      <c r="F188" s="861"/>
      <c r="G188" s="861"/>
      <c r="H188" s="861"/>
      <c r="I188" s="861"/>
      <c r="J188" s="861"/>
    </row>
  </sheetData>
  <sheetProtection selectLockedCells="1" selectUnlockedCells="1"/>
  <mergeCells count="160">
    <mergeCell ref="N1:P1"/>
    <mergeCell ref="L2:P2"/>
    <mergeCell ref="A4:A8"/>
    <mergeCell ref="B4:B8"/>
    <mergeCell ref="C4:C8"/>
    <mergeCell ref="D4:E8"/>
    <mergeCell ref="G4:L4"/>
    <mergeCell ref="M4:N8"/>
    <mergeCell ref="O4:O8"/>
    <mergeCell ref="P4:P8"/>
    <mergeCell ref="G5:G8"/>
    <mergeCell ref="H5:L5"/>
    <mergeCell ref="H6:J6"/>
    <mergeCell ref="K6:L8"/>
    <mergeCell ref="H7:H8"/>
    <mergeCell ref="I7:J7"/>
    <mergeCell ref="D9:E9"/>
    <mergeCell ref="K9:L9"/>
    <mergeCell ref="M9:N9"/>
    <mergeCell ref="A10:P10"/>
    <mergeCell ref="A11:P11"/>
    <mergeCell ref="A12:P12"/>
    <mergeCell ref="A13:A33"/>
    <mergeCell ref="B13:B36"/>
    <mergeCell ref="C13:D15"/>
    <mergeCell ref="E13:F15"/>
    <mergeCell ref="L13:M13"/>
    <mergeCell ref="P13:P36"/>
    <mergeCell ref="L14:M14"/>
    <mergeCell ref="L15:M15"/>
    <mergeCell ref="L18:M18"/>
    <mergeCell ref="C22:C24"/>
    <mergeCell ref="C25:C27"/>
    <mergeCell ref="C28:C30"/>
    <mergeCell ref="C31:C33"/>
    <mergeCell ref="C34:C36"/>
    <mergeCell ref="A37:A43"/>
    <mergeCell ref="B37:B43"/>
    <mergeCell ref="C37:D37"/>
    <mergeCell ref="E37:F37"/>
    <mergeCell ref="L37:M37"/>
    <mergeCell ref="O37:O44"/>
    <mergeCell ref="P37:P44"/>
    <mergeCell ref="L38:M38"/>
    <mergeCell ref="A45:B52"/>
    <mergeCell ref="O45:O47"/>
    <mergeCell ref="P45:P47"/>
    <mergeCell ref="A53:O53"/>
    <mergeCell ref="A54:O54"/>
    <mergeCell ref="A55:O55"/>
    <mergeCell ref="A56:A65"/>
    <mergeCell ref="B56:B66"/>
    <mergeCell ref="C56:C57"/>
    <mergeCell ref="E56:E57"/>
    <mergeCell ref="G56:G57"/>
    <mergeCell ref="H56:H57"/>
    <mergeCell ref="I56:I57"/>
    <mergeCell ref="J56:J57"/>
    <mergeCell ref="L56:L57"/>
    <mergeCell ref="N56:N57"/>
    <mergeCell ref="O56:O66"/>
    <mergeCell ref="P56:P66"/>
    <mergeCell ref="C58:C59"/>
    <mergeCell ref="E58:E59"/>
    <mergeCell ref="G58:G59"/>
    <mergeCell ref="H58:H59"/>
    <mergeCell ref="I58:I59"/>
    <mergeCell ref="J58:J59"/>
    <mergeCell ref="L58:L59"/>
    <mergeCell ref="N58:N59"/>
    <mergeCell ref="C60:C61"/>
    <mergeCell ref="E60:E61"/>
    <mergeCell ref="G60:G61"/>
    <mergeCell ref="H60:H61"/>
    <mergeCell ref="I60:I61"/>
    <mergeCell ref="J60:J61"/>
    <mergeCell ref="L60:L61"/>
    <mergeCell ref="N60:N61"/>
    <mergeCell ref="A67:A75"/>
    <mergeCell ref="B67:B75"/>
    <mergeCell ref="C67:D67"/>
    <mergeCell ref="O67:O74"/>
    <mergeCell ref="P67:P74"/>
    <mergeCell ref="C68:D68"/>
    <mergeCell ref="C69:D70"/>
    <mergeCell ref="A77:B84"/>
    <mergeCell ref="O77:O82"/>
    <mergeCell ref="P77:P82"/>
    <mergeCell ref="A85:P85"/>
    <mergeCell ref="A86:P86"/>
    <mergeCell ref="A87:P87"/>
    <mergeCell ref="A88:A100"/>
    <mergeCell ref="B88:B100"/>
    <mergeCell ref="C88:D90"/>
    <mergeCell ref="E88:F90"/>
    <mergeCell ref="G88:G90"/>
    <mergeCell ref="H88:H90"/>
    <mergeCell ref="I88:I90"/>
    <mergeCell ref="J88:J90"/>
    <mergeCell ref="L88:M90"/>
    <mergeCell ref="N88:N90"/>
    <mergeCell ref="O88:O90"/>
    <mergeCell ref="P88:P120"/>
    <mergeCell ref="L91:M91"/>
    <mergeCell ref="C92:D92"/>
    <mergeCell ref="E92:F92"/>
    <mergeCell ref="L92:M92"/>
    <mergeCell ref="C93:C94"/>
    <mergeCell ref="C95:C96"/>
    <mergeCell ref="C97:C98"/>
    <mergeCell ref="C99:C100"/>
    <mergeCell ref="C101:C102"/>
    <mergeCell ref="A103:A118"/>
    <mergeCell ref="B103:B118"/>
    <mergeCell ref="C105:C106"/>
    <mergeCell ref="C107:C109"/>
    <mergeCell ref="C110:C112"/>
    <mergeCell ref="C113:C115"/>
    <mergeCell ref="C116:C118"/>
    <mergeCell ref="C119:C121"/>
    <mergeCell ref="A122:A131"/>
    <mergeCell ref="B122:B131"/>
    <mergeCell ref="P122:P149"/>
    <mergeCell ref="C123:C125"/>
    <mergeCell ref="E123:E125"/>
    <mergeCell ref="G123:G125"/>
    <mergeCell ref="H123:H125"/>
    <mergeCell ref="I123:I125"/>
    <mergeCell ref="J123:J125"/>
    <mergeCell ref="L123:L125"/>
    <mergeCell ref="N123:N125"/>
    <mergeCell ref="O123:O125"/>
    <mergeCell ref="O126:O129"/>
    <mergeCell ref="A132:A143"/>
    <mergeCell ref="B132:B139"/>
    <mergeCell ref="C132:C133"/>
    <mergeCell ref="E132:E133"/>
    <mergeCell ref="K132:K135"/>
    <mergeCell ref="C139:C141"/>
    <mergeCell ref="A144:A150"/>
    <mergeCell ref="B144:B150"/>
    <mergeCell ref="C144:D144"/>
    <mergeCell ref="E144:F144"/>
    <mergeCell ref="C145:D145"/>
    <mergeCell ref="E145:F145"/>
    <mergeCell ref="L145:M145"/>
    <mergeCell ref="E146:F146"/>
    <mergeCell ref="L146:M146"/>
    <mergeCell ref="A152:A153"/>
    <mergeCell ref="B152:B153"/>
    <mergeCell ref="A157:B164"/>
    <mergeCell ref="O157:O162"/>
    <mergeCell ref="P157:P162"/>
    <mergeCell ref="A165:P165"/>
    <mergeCell ref="A166:B174"/>
    <mergeCell ref="O166:O172"/>
    <mergeCell ref="P166:P172"/>
    <mergeCell ref="E167:F167"/>
    <mergeCell ref="E168:F168"/>
    <mergeCell ref="L168:M168"/>
  </mergeCells>
  <printOptions/>
  <pageMargins left="0.7875" right="0.7875" top="1.025" bottom="1.025" header="0.7875" footer="0.7875"/>
  <pageSetup horizontalDpi="300" verticalDpi="300" orientation="portrait" paperSize="9" scale="31"/>
  <headerFooter alignWithMargins="0">
    <oddHeader>&amp;C&amp;"Arial,Обычный"&amp;A</oddHeader>
    <oddFooter>&amp;C&amp;"Arial,Обычный"Страница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X82"/>
  <sheetViews>
    <sheetView zoomScale="80" zoomScaleNormal="80" zoomScaleSheetLayoutView="75" workbookViewId="0" topLeftCell="A1">
      <selection activeCell="J27" sqref="J27"/>
    </sheetView>
  </sheetViews>
  <sheetFormatPr defaultColWidth="9.00390625" defaultRowHeight="12.75"/>
  <cols>
    <col min="1" max="1" width="6.875" style="646" customWidth="1"/>
    <col min="2" max="2" width="35.75390625" style="646" customWidth="1"/>
    <col min="3" max="3" width="17.125" style="646" customWidth="1"/>
    <col min="4" max="4" width="9.125" style="646" hidden="1" customWidth="1"/>
    <col min="5" max="5" width="26.50390625" style="646" customWidth="1"/>
    <col min="6" max="6" width="21.375" style="646" customWidth="1"/>
    <col min="7" max="7" width="12.875" style="646" customWidth="1"/>
    <col min="8" max="8" width="15.50390625" style="646" customWidth="1"/>
    <col min="9" max="9" width="9.125" style="646" customWidth="1"/>
    <col min="10" max="10" width="19.75390625" style="646" customWidth="1"/>
    <col min="11" max="11" width="10.75390625" style="646" customWidth="1"/>
    <col min="12" max="12" width="13.125" style="646" customWidth="1"/>
    <col min="13" max="13" width="20.00390625" style="646" customWidth="1"/>
    <col min="14" max="14" width="26.50390625" style="646" customWidth="1"/>
    <col min="15" max="20" width="9.125" style="646" customWidth="1"/>
    <col min="21" max="22" width="18.375" style="646" customWidth="1"/>
    <col min="23" max="23" width="21.75390625" style="646" customWidth="1"/>
    <col min="24" max="24" width="27.00390625" style="646" customWidth="1"/>
    <col min="25" max="25" width="31.50390625" style="646" customWidth="1"/>
    <col min="26" max="16384" width="9.125" style="646" customWidth="1"/>
  </cols>
  <sheetData>
    <row r="1" ht="33" customHeight="1"/>
    <row r="2" spans="1:14" ht="21" customHeight="1">
      <c r="A2" s="795"/>
      <c r="B2" s="863" t="s">
        <v>488</v>
      </c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</row>
    <row r="3" spans="1:14" ht="16.5" customHeight="1">
      <c r="A3" s="795"/>
      <c r="B3" s="864"/>
      <c r="C3" s="864"/>
      <c r="D3" s="864"/>
      <c r="E3" s="864"/>
      <c r="F3" s="864"/>
      <c r="G3" s="864"/>
      <c r="H3" s="864"/>
      <c r="I3" s="864"/>
      <c r="J3" s="864"/>
      <c r="K3" s="863" t="s">
        <v>489</v>
      </c>
      <c r="L3" s="863"/>
      <c r="M3" s="863"/>
      <c r="N3" s="863"/>
    </row>
    <row r="4" spans="1:14" ht="24.75" customHeight="1">
      <c r="A4" s="800"/>
      <c r="B4" s="865" t="s">
        <v>490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</row>
    <row r="5" spans="1:14" ht="21" customHeight="1">
      <c r="A5" s="866" t="s">
        <v>491</v>
      </c>
      <c r="B5" s="866" t="s">
        <v>417</v>
      </c>
      <c r="C5" s="866" t="s">
        <v>418</v>
      </c>
      <c r="D5" s="866" t="s">
        <v>492</v>
      </c>
      <c r="E5" s="866"/>
      <c r="F5" s="867" t="s">
        <v>7</v>
      </c>
      <c r="G5" s="867"/>
      <c r="H5" s="867"/>
      <c r="I5" s="867"/>
      <c r="J5" s="867"/>
      <c r="K5" s="867"/>
      <c r="L5" s="868" t="s">
        <v>8</v>
      </c>
      <c r="M5" s="866" t="s">
        <v>420</v>
      </c>
      <c r="N5" s="866" t="s">
        <v>421</v>
      </c>
    </row>
    <row r="6" spans="1:14" ht="26.25" customHeight="1">
      <c r="A6" s="866"/>
      <c r="B6" s="866"/>
      <c r="C6" s="866"/>
      <c r="D6" s="866"/>
      <c r="E6" s="866"/>
      <c r="F6" s="868" t="s">
        <v>11</v>
      </c>
      <c r="G6" s="869" t="s">
        <v>375</v>
      </c>
      <c r="H6" s="869"/>
      <c r="I6" s="869"/>
      <c r="J6" s="869"/>
      <c r="K6" s="869"/>
      <c r="L6" s="868"/>
      <c r="M6" s="866"/>
      <c r="N6" s="866"/>
    </row>
    <row r="7" spans="1:14" ht="34.5" customHeight="1">
      <c r="A7" s="866"/>
      <c r="B7" s="866"/>
      <c r="C7" s="866"/>
      <c r="D7" s="866"/>
      <c r="E7" s="866"/>
      <c r="F7" s="868"/>
      <c r="G7" s="868" t="s">
        <v>13</v>
      </c>
      <c r="H7" s="868"/>
      <c r="I7" s="868"/>
      <c r="J7" s="868"/>
      <c r="K7" s="870" t="s">
        <v>493</v>
      </c>
      <c r="L7" s="868"/>
      <c r="M7" s="866"/>
      <c r="N7" s="866"/>
    </row>
    <row r="8" spans="1:14" ht="20.25" customHeight="1">
      <c r="A8" s="866"/>
      <c r="B8" s="866"/>
      <c r="C8" s="866"/>
      <c r="D8" s="866"/>
      <c r="E8" s="866"/>
      <c r="F8" s="868"/>
      <c r="G8" s="868" t="s">
        <v>15</v>
      </c>
      <c r="H8" s="866" t="s">
        <v>16</v>
      </c>
      <c r="I8" s="866"/>
      <c r="J8" s="866"/>
      <c r="K8" s="870"/>
      <c r="L8" s="868"/>
      <c r="M8" s="866"/>
      <c r="N8" s="866"/>
    </row>
    <row r="9" spans="1:14" ht="49.5" customHeight="1">
      <c r="A9" s="866"/>
      <c r="B9" s="866"/>
      <c r="C9" s="866"/>
      <c r="D9" s="866"/>
      <c r="E9" s="866"/>
      <c r="F9" s="868"/>
      <c r="G9" s="868"/>
      <c r="H9" s="870" t="s">
        <v>17</v>
      </c>
      <c r="I9" s="871"/>
      <c r="J9" s="870" t="s">
        <v>18</v>
      </c>
      <c r="K9" s="870"/>
      <c r="L9" s="868"/>
      <c r="M9" s="866"/>
      <c r="N9" s="866"/>
    </row>
    <row r="10" spans="1:14" ht="16.5" customHeight="1">
      <c r="A10" s="872">
        <v>1</v>
      </c>
      <c r="B10" s="873">
        <v>2</v>
      </c>
      <c r="C10" s="873">
        <v>3</v>
      </c>
      <c r="D10" s="874">
        <v>4</v>
      </c>
      <c r="E10" s="874"/>
      <c r="F10" s="874">
        <v>5</v>
      </c>
      <c r="G10" s="875">
        <v>6</v>
      </c>
      <c r="H10" s="875">
        <v>7</v>
      </c>
      <c r="I10" s="874">
        <v>8</v>
      </c>
      <c r="J10" s="874"/>
      <c r="K10" s="875">
        <v>9</v>
      </c>
      <c r="L10" s="873">
        <v>10</v>
      </c>
      <c r="M10" s="873">
        <v>11</v>
      </c>
      <c r="N10" s="873">
        <v>12</v>
      </c>
    </row>
    <row r="11" spans="1:14" ht="19.5" customHeight="1">
      <c r="A11" s="398" t="s">
        <v>494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</row>
    <row r="12" spans="1:14" ht="19.5" customHeight="1">
      <c r="A12" s="876" t="s">
        <v>495</v>
      </c>
      <c r="B12" s="876"/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</row>
    <row r="13" spans="1:14" ht="22.5" customHeight="1">
      <c r="A13" s="877" t="s">
        <v>496</v>
      </c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</row>
    <row r="14" spans="1:14" ht="17.25" customHeight="1">
      <c r="A14" s="878" t="s">
        <v>497</v>
      </c>
      <c r="B14" s="180" t="s">
        <v>498</v>
      </c>
      <c r="C14" s="879">
        <v>2017</v>
      </c>
      <c r="D14" s="879"/>
      <c r="E14" s="880">
        <f>F14+G14+K14+L14</f>
        <v>7815.7</v>
      </c>
      <c r="F14" s="881">
        <v>7815.7</v>
      </c>
      <c r="G14" s="881">
        <f>H14+J14</f>
        <v>0</v>
      </c>
      <c r="H14" s="881">
        <v>0</v>
      </c>
      <c r="I14" s="882"/>
      <c r="J14" s="881">
        <v>0</v>
      </c>
      <c r="K14" s="881">
        <v>0</v>
      </c>
      <c r="L14" s="881">
        <v>0</v>
      </c>
      <c r="M14" s="883" t="s">
        <v>499</v>
      </c>
      <c r="N14" s="461" t="s">
        <v>500</v>
      </c>
    </row>
    <row r="15" spans="1:14" ht="16.5" customHeight="1">
      <c r="A15" s="878"/>
      <c r="B15" s="180"/>
      <c r="C15" s="879"/>
      <c r="D15" s="879"/>
      <c r="E15" s="880"/>
      <c r="F15" s="881"/>
      <c r="G15" s="881"/>
      <c r="H15" s="881"/>
      <c r="I15" s="882"/>
      <c r="J15" s="881"/>
      <c r="K15" s="881"/>
      <c r="L15" s="881"/>
      <c r="M15" s="883"/>
      <c r="N15" s="461"/>
    </row>
    <row r="16" spans="1:14" ht="18" customHeight="1" hidden="1">
      <c r="A16" s="878"/>
      <c r="B16" s="180"/>
      <c r="C16" s="879"/>
      <c r="D16" s="879"/>
      <c r="E16" s="880"/>
      <c r="F16" s="884"/>
      <c r="G16" s="884"/>
      <c r="H16" s="885"/>
      <c r="I16" s="886"/>
      <c r="J16" s="885"/>
      <c r="K16" s="885"/>
      <c r="L16" s="885"/>
      <c r="M16" s="883"/>
      <c r="N16" s="461"/>
    </row>
    <row r="17" spans="1:14" ht="17.25" customHeight="1" hidden="1">
      <c r="A17" s="878"/>
      <c r="B17" s="180"/>
      <c r="C17" s="879"/>
      <c r="D17" s="879"/>
      <c r="E17" s="880"/>
      <c r="F17" s="884"/>
      <c r="G17" s="884"/>
      <c r="H17" s="885"/>
      <c r="I17" s="886"/>
      <c r="J17" s="885"/>
      <c r="K17" s="885"/>
      <c r="L17" s="885"/>
      <c r="M17" s="883"/>
      <c r="N17" s="461"/>
    </row>
    <row r="18" spans="1:14" ht="17.25" customHeight="1">
      <c r="A18" s="878"/>
      <c r="B18" s="180"/>
      <c r="C18" s="887">
        <v>2018</v>
      </c>
      <c r="D18" s="888"/>
      <c r="E18" s="884">
        <f>F18+G18+K18+L18</f>
        <v>10048.5</v>
      </c>
      <c r="F18" s="885">
        <f>7833+1424.4+791.1</f>
        <v>10048.5</v>
      </c>
      <c r="G18" s="885">
        <f>H18+J18</f>
        <v>0</v>
      </c>
      <c r="H18" s="885">
        <v>0</v>
      </c>
      <c r="I18" s="889"/>
      <c r="J18" s="885">
        <v>0</v>
      </c>
      <c r="K18" s="885">
        <v>0</v>
      </c>
      <c r="L18" s="885">
        <v>0</v>
      </c>
      <c r="M18" s="883"/>
      <c r="N18" s="461"/>
    </row>
    <row r="19" spans="1:14" ht="13.5" customHeight="1">
      <c r="A19" s="878"/>
      <c r="B19" s="180"/>
      <c r="C19" s="887"/>
      <c r="D19" s="890"/>
      <c r="E19" s="884"/>
      <c r="F19" s="885"/>
      <c r="G19" s="885"/>
      <c r="H19" s="885"/>
      <c r="I19" s="889"/>
      <c r="J19" s="885"/>
      <c r="K19" s="885"/>
      <c r="L19" s="885"/>
      <c r="M19" s="883"/>
      <c r="N19" s="461"/>
    </row>
    <row r="20" spans="1:14" ht="15.75" customHeight="1" hidden="1">
      <c r="A20" s="878"/>
      <c r="B20" s="180"/>
      <c r="C20" s="891"/>
      <c r="D20" s="890"/>
      <c r="E20" s="886"/>
      <c r="F20" s="885"/>
      <c r="G20" s="885"/>
      <c r="H20" s="885"/>
      <c r="I20" s="886"/>
      <c r="J20" s="885"/>
      <c r="K20" s="885"/>
      <c r="L20" s="885"/>
      <c r="M20" s="883"/>
      <c r="N20" s="461"/>
    </row>
    <row r="21" spans="1:14" ht="13.5" customHeight="1" hidden="1">
      <c r="A21" s="878"/>
      <c r="B21" s="180"/>
      <c r="C21" s="891"/>
      <c r="D21" s="890"/>
      <c r="E21" s="886"/>
      <c r="F21" s="885"/>
      <c r="G21" s="885"/>
      <c r="H21" s="885"/>
      <c r="I21" s="886"/>
      <c r="J21" s="885"/>
      <c r="K21" s="885"/>
      <c r="L21" s="885"/>
      <c r="M21" s="883"/>
      <c r="N21" s="461"/>
    </row>
    <row r="22" spans="1:14" ht="18" customHeight="1" hidden="1">
      <c r="A22" s="878"/>
      <c r="B22" s="180"/>
      <c r="C22" s="891"/>
      <c r="D22" s="890"/>
      <c r="E22" s="886"/>
      <c r="F22" s="885"/>
      <c r="G22" s="885"/>
      <c r="H22" s="885"/>
      <c r="I22" s="886"/>
      <c r="J22" s="885"/>
      <c r="K22" s="885"/>
      <c r="L22" s="885"/>
      <c r="M22" s="883"/>
      <c r="N22" s="461"/>
    </row>
    <row r="23" spans="1:14" ht="19.5" customHeight="1">
      <c r="A23" s="878"/>
      <c r="B23" s="180"/>
      <c r="C23" s="887">
        <v>2019</v>
      </c>
      <c r="D23" s="888"/>
      <c r="E23" s="884">
        <f>F23+G23+K23+L23</f>
        <v>10536</v>
      </c>
      <c r="F23" s="885">
        <v>10536</v>
      </c>
      <c r="G23" s="885">
        <f>H23+J23</f>
        <v>0</v>
      </c>
      <c r="H23" s="885">
        <v>0</v>
      </c>
      <c r="I23" s="889"/>
      <c r="J23" s="885">
        <v>0</v>
      </c>
      <c r="K23" s="885">
        <v>0</v>
      </c>
      <c r="L23" s="885">
        <v>0</v>
      </c>
      <c r="M23" s="883"/>
      <c r="N23" s="461"/>
    </row>
    <row r="24" spans="1:14" ht="6" customHeight="1">
      <c r="A24" s="878"/>
      <c r="B24" s="180"/>
      <c r="C24" s="887"/>
      <c r="D24" s="890"/>
      <c r="E24" s="884"/>
      <c r="F24" s="885"/>
      <c r="G24" s="885"/>
      <c r="H24" s="885"/>
      <c r="I24" s="889"/>
      <c r="J24" s="885"/>
      <c r="K24" s="885"/>
      <c r="L24" s="885"/>
      <c r="M24" s="883"/>
      <c r="N24" s="461"/>
    </row>
    <row r="25" spans="1:14" ht="16.5" customHeight="1" hidden="1">
      <c r="A25" s="878"/>
      <c r="B25" s="180"/>
      <c r="C25" s="891"/>
      <c r="D25" s="890"/>
      <c r="E25" s="884">
        <f>F25</f>
        <v>0</v>
      </c>
      <c r="F25" s="885"/>
      <c r="G25" s="885"/>
      <c r="H25" s="885"/>
      <c r="I25" s="886"/>
      <c r="J25" s="885">
        <v>10537</v>
      </c>
      <c r="K25" s="885"/>
      <c r="L25" s="885"/>
      <c r="M25" s="883"/>
      <c r="N25" s="461"/>
    </row>
    <row r="26" spans="1:14" ht="18" customHeight="1" hidden="1">
      <c r="A26" s="878"/>
      <c r="B26" s="180"/>
      <c r="C26" s="891"/>
      <c r="D26" s="890"/>
      <c r="E26" s="884"/>
      <c r="F26" s="885"/>
      <c r="G26" s="885"/>
      <c r="H26" s="885"/>
      <c r="I26" s="886"/>
      <c r="J26" s="885"/>
      <c r="K26" s="885"/>
      <c r="L26" s="885"/>
      <c r="M26" s="883"/>
      <c r="N26" s="461"/>
    </row>
    <row r="27" spans="1:14" ht="27" customHeight="1">
      <c r="A27" s="878"/>
      <c r="B27" s="180"/>
      <c r="C27" s="887">
        <v>2020</v>
      </c>
      <c r="D27" s="888"/>
      <c r="E27" s="884">
        <f aca="true" t="shared" si="0" ref="E27:E31">F27+G27+K27+L27</f>
        <v>9643.9</v>
      </c>
      <c r="F27" s="885">
        <f>11039-1395.1</f>
        <v>9643.9</v>
      </c>
      <c r="G27" s="885">
        <f aca="true" t="shared" si="1" ref="G27:G29">H27+J27</f>
        <v>0</v>
      </c>
      <c r="H27" s="885">
        <v>0</v>
      </c>
      <c r="I27" s="886"/>
      <c r="J27" s="885">
        <v>0</v>
      </c>
      <c r="K27" s="885">
        <v>0</v>
      </c>
      <c r="L27" s="885">
        <v>0</v>
      </c>
      <c r="M27" s="883"/>
      <c r="N27" s="461"/>
    </row>
    <row r="28" spans="1:14" ht="27" customHeight="1">
      <c r="A28" s="878"/>
      <c r="B28" s="180"/>
      <c r="C28" s="887">
        <v>2021</v>
      </c>
      <c r="D28" s="888"/>
      <c r="E28" s="892">
        <f t="shared" si="0"/>
        <v>10536</v>
      </c>
      <c r="F28" s="893">
        <f>5000+5451+85</f>
        <v>10536</v>
      </c>
      <c r="G28" s="885">
        <f t="shared" si="1"/>
        <v>0</v>
      </c>
      <c r="H28" s="885">
        <v>0</v>
      </c>
      <c r="I28" s="886"/>
      <c r="J28" s="885">
        <v>0</v>
      </c>
      <c r="K28" s="885">
        <v>0</v>
      </c>
      <c r="L28" s="885">
        <v>0</v>
      </c>
      <c r="M28" s="883"/>
      <c r="N28" s="461"/>
    </row>
    <row r="29" spans="1:14" ht="22.5" customHeight="1">
      <c r="A29" s="878"/>
      <c r="B29" s="180"/>
      <c r="C29" s="887">
        <v>2022</v>
      </c>
      <c r="D29" s="888"/>
      <c r="E29" s="892">
        <f t="shared" si="0"/>
        <v>9846</v>
      </c>
      <c r="F29" s="893">
        <v>9846</v>
      </c>
      <c r="G29" s="885">
        <f t="shared" si="1"/>
        <v>0</v>
      </c>
      <c r="H29" s="885">
        <v>0</v>
      </c>
      <c r="I29" s="886"/>
      <c r="J29" s="885">
        <v>0</v>
      </c>
      <c r="K29" s="885">
        <v>0</v>
      </c>
      <c r="L29" s="885">
        <v>0</v>
      </c>
      <c r="M29" s="883"/>
      <c r="N29" s="461"/>
    </row>
    <row r="30" spans="1:14" ht="22.5" customHeight="1">
      <c r="A30" s="878"/>
      <c r="B30" s="180"/>
      <c r="C30" s="887">
        <v>2023</v>
      </c>
      <c r="D30" s="888"/>
      <c r="E30" s="892">
        <f t="shared" si="0"/>
        <v>9846</v>
      </c>
      <c r="F30" s="893">
        <v>9846</v>
      </c>
      <c r="G30" s="885"/>
      <c r="H30" s="885"/>
      <c r="I30" s="886"/>
      <c r="J30" s="885"/>
      <c r="K30" s="885"/>
      <c r="L30" s="885"/>
      <c r="M30" s="883"/>
      <c r="N30" s="461"/>
    </row>
    <row r="31" spans="1:14" ht="22.5" customHeight="1">
      <c r="A31" s="878"/>
      <c r="B31" s="180"/>
      <c r="C31" s="894">
        <v>2024</v>
      </c>
      <c r="D31" s="895"/>
      <c r="E31" s="896">
        <f t="shared" si="0"/>
        <v>9846</v>
      </c>
      <c r="F31" s="897">
        <v>9846</v>
      </c>
      <c r="G31" s="898"/>
      <c r="H31" s="898"/>
      <c r="I31" s="899"/>
      <c r="J31" s="898"/>
      <c r="K31" s="898"/>
      <c r="L31" s="898"/>
      <c r="M31" s="883"/>
      <c r="N31" s="461"/>
    </row>
    <row r="32" spans="1:14" s="901" customFormat="1" ht="22.5" customHeight="1">
      <c r="A32" s="900" t="s">
        <v>501</v>
      </c>
      <c r="B32" s="900"/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</row>
    <row r="33" spans="1:14" s="902" customFormat="1" ht="22.5" customHeight="1">
      <c r="A33" s="876" t="s">
        <v>495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</row>
    <row r="34" spans="1:14" ht="32.25" customHeight="1">
      <c r="A34" s="903" t="s">
        <v>502</v>
      </c>
      <c r="B34" s="903"/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</row>
    <row r="35" spans="1:14" ht="21.75" customHeight="1">
      <c r="A35" s="904" t="s">
        <v>497</v>
      </c>
      <c r="B35" s="905" t="s">
        <v>503</v>
      </c>
      <c r="C35" s="906">
        <v>2017</v>
      </c>
      <c r="D35" s="907"/>
      <c r="E35" s="908">
        <f aca="true" t="shared" si="2" ref="E35:E42">F35+G35+K35+L35</f>
        <v>3554.8</v>
      </c>
      <c r="F35" s="909">
        <v>3554.8</v>
      </c>
      <c r="G35" s="909">
        <f aca="true" t="shared" si="3" ref="G35:G40">H35+J35</f>
        <v>0</v>
      </c>
      <c r="H35" s="909">
        <v>0</v>
      </c>
      <c r="I35" s="910"/>
      <c r="J35" s="911">
        <v>0</v>
      </c>
      <c r="K35" s="912">
        <v>0</v>
      </c>
      <c r="L35" s="913">
        <v>0</v>
      </c>
      <c r="M35" s="914" t="s">
        <v>499</v>
      </c>
      <c r="N35" s="152" t="s">
        <v>504</v>
      </c>
    </row>
    <row r="36" spans="1:14" ht="21.75" customHeight="1">
      <c r="A36" s="904"/>
      <c r="B36" s="905"/>
      <c r="C36" s="915">
        <v>2018</v>
      </c>
      <c r="D36" s="916"/>
      <c r="E36" s="917">
        <f t="shared" si="2"/>
        <v>4738.472699999999</v>
      </c>
      <c r="F36" s="918">
        <f>1252.0727+2556+930.4</f>
        <v>4738.472699999999</v>
      </c>
      <c r="G36" s="919">
        <f t="shared" si="3"/>
        <v>0</v>
      </c>
      <c r="H36" s="920">
        <v>0</v>
      </c>
      <c r="I36" s="921"/>
      <c r="J36" s="922">
        <v>0</v>
      </c>
      <c r="K36" s="923">
        <v>0</v>
      </c>
      <c r="L36" s="923">
        <v>0</v>
      </c>
      <c r="M36" s="914"/>
      <c r="N36" s="152"/>
    </row>
    <row r="37" spans="1:14" ht="21.75" customHeight="1">
      <c r="A37" s="904"/>
      <c r="B37" s="905"/>
      <c r="C37" s="915">
        <v>2019</v>
      </c>
      <c r="D37" s="916"/>
      <c r="E37" s="924">
        <f t="shared" si="2"/>
        <v>1200</v>
      </c>
      <c r="F37" s="925">
        <v>1200</v>
      </c>
      <c r="G37" s="919">
        <f t="shared" si="3"/>
        <v>0</v>
      </c>
      <c r="H37" s="920">
        <v>0</v>
      </c>
      <c r="I37" s="926"/>
      <c r="J37" s="922">
        <v>0</v>
      </c>
      <c r="K37" s="927">
        <v>0</v>
      </c>
      <c r="L37" s="923">
        <v>0</v>
      </c>
      <c r="M37" s="914"/>
      <c r="N37" s="152"/>
    </row>
    <row r="38" spans="1:14" ht="21.75" customHeight="1">
      <c r="A38" s="904"/>
      <c r="B38" s="905"/>
      <c r="C38" s="915">
        <v>2020</v>
      </c>
      <c r="D38" s="916"/>
      <c r="E38" s="924">
        <f t="shared" si="2"/>
        <v>2400</v>
      </c>
      <c r="F38" s="925">
        <f>1287+0.6+1112.4</f>
        <v>2400</v>
      </c>
      <c r="G38" s="919">
        <f t="shared" si="3"/>
        <v>0</v>
      </c>
      <c r="H38" s="920">
        <v>0</v>
      </c>
      <c r="I38" s="926"/>
      <c r="J38" s="922">
        <v>0</v>
      </c>
      <c r="K38" s="923">
        <v>0</v>
      </c>
      <c r="L38" s="923">
        <v>0</v>
      </c>
      <c r="M38" s="914"/>
      <c r="N38" s="152"/>
    </row>
    <row r="39" spans="1:14" ht="21.75" customHeight="1">
      <c r="A39" s="904"/>
      <c r="B39" s="905"/>
      <c r="C39" s="915">
        <v>2021</v>
      </c>
      <c r="D39" s="916"/>
      <c r="E39" s="924">
        <f t="shared" si="2"/>
        <v>3730.5</v>
      </c>
      <c r="F39" s="925">
        <v>3730.5</v>
      </c>
      <c r="G39" s="928">
        <f t="shared" si="3"/>
        <v>0</v>
      </c>
      <c r="H39" s="920">
        <v>0</v>
      </c>
      <c r="I39" s="926"/>
      <c r="J39" s="929">
        <v>0</v>
      </c>
      <c r="K39" s="923">
        <v>0</v>
      </c>
      <c r="L39" s="923">
        <v>0</v>
      </c>
      <c r="M39" s="914"/>
      <c r="N39" s="152"/>
    </row>
    <row r="40" spans="1:14" ht="21.75" customHeight="1">
      <c r="A40" s="904"/>
      <c r="B40" s="905"/>
      <c r="C40" s="915">
        <v>2022</v>
      </c>
      <c r="D40" s="916"/>
      <c r="E40" s="930">
        <f t="shared" si="2"/>
        <v>3959.4</v>
      </c>
      <c r="F40" s="925">
        <v>3959.4</v>
      </c>
      <c r="G40" s="919">
        <f t="shared" si="3"/>
        <v>0</v>
      </c>
      <c r="H40" s="920">
        <v>0</v>
      </c>
      <c r="I40" s="926"/>
      <c r="J40" s="922">
        <v>0</v>
      </c>
      <c r="K40" s="931">
        <v>0</v>
      </c>
      <c r="L40" s="931">
        <v>0</v>
      </c>
      <c r="M40" s="914"/>
      <c r="N40" s="152"/>
    </row>
    <row r="41" spans="1:14" ht="21.75" customHeight="1">
      <c r="A41" s="904"/>
      <c r="B41" s="905"/>
      <c r="C41" s="932">
        <v>2023</v>
      </c>
      <c r="D41" s="933"/>
      <c r="E41" s="934">
        <f t="shared" si="2"/>
        <v>2639.6</v>
      </c>
      <c r="F41" s="935">
        <v>2639.6</v>
      </c>
      <c r="G41" s="936">
        <v>0</v>
      </c>
      <c r="H41" s="937">
        <v>0</v>
      </c>
      <c r="I41" s="938"/>
      <c r="J41" s="939">
        <v>0</v>
      </c>
      <c r="K41" s="939">
        <v>0</v>
      </c>
      <c r="L41" s="940">
        <v>0</v>
      </c>
      <c r="M41" s="914"/>
      <c r="N41" s="152"/>
    </row>
    <row r="42" spans="1:24" ht="21.75" customHeight="1">
      <c r="A42" s="904"/>
      <c r="B42" s="905"/>
      <c r="C42" s="932">
        <v>2024</v>
      </c>
      <c r="D42" s="933"/>
      <c r="E42" s="934">
        <f t="shared" si="2"/>
        <v>5279.2</v>
      </c>
      <c r="F42" s="935">
        <v>5279.2</v>
      </c>
      <c r="G42" s="936">
        <v>0</v>
      </c>
      <c r="H42" s="937">
        <v>0</v>
      </c>
      <c r="I42" s="938"/>
      <c r="J42" s="939">
        <v>0</v>
      </c>
      <c r="K42" s="939">
        <v>0</v>
      </c>
      <c r="L42" s="940">
        <v>0</v>
      </c>
      <c r="M42" s="914"/>
      <c r="N42" s="152"/>
      <c r="U42" s="941"/>
      <c r="V42" s="941"/>
      <c r="W42" s="941"/>
      <c r="X42" s="941"/>
    </row>
    <row r="43" spans="1:14" s="948" customFormat="1" ht="21.75" customHeight="1">
      <c r="A43" s="942" t="s">
        <v>505</v>
      </c>
      <c r="B43" s="942"/>
      <c r="C43" s="112" t="s">
        <v>506</v>
      </c>
      <c r="D43" s="943"/>
      <c r="E43" s="944">
        <f>SUM(E45:E52)</f>
        <v>105620.0727</v>
      </c>
      <c r="F43" s="944">
        <f>SUM(F45:F52)</f>
        <v>105620.0727</v>
      </c>
      <c r="G43" s="944">
        <f>SUM(G45:G53)</f>
        <v>0</v>
      </c>
      <c r="H43" s="944">
        <f>SUM(H45:H53)</f>
        <v>0</v>
      </c>
      <c r="I43" s="944">
        <f>SUM(I45:I53)</f>
        <v>0</v>
      </c>
      <c r="J43" s="944">
        <f>SUM(J45:J53)</f>
        <v>0</v>
      </c>
      <c r="K43" s="944">
        <f>SUM(K45:K53)</f>
        <v>0</v>
      </c>
      <c r="L43" s="945">
        <f>SUM(L45:L53)</f>
        <v>0</v>
      </c>
      <c r="M43" s="946"/>
      <c r="N43" s="947"/>
    </row>
    <row r="44" spans="1:14" s="948" customFormat="1" ht="21" customHeight="1">
      <c r="A44" s="942"/>
      <c r="B44" s="942"/>
      <c r="C44" s="949"/>
      <c r="D44" s="950"/>
      <c r="E44" s="951"/>
      <c r="F44" s="951"/>
      <c r="G44" s="951"/>
      <c r="H44" s="952"/>
      <c r="I44" s="263"/>
      <c r="J44" s="263"/>
      <c r="K44" s="953"/>
      <c r="L44" s="954"/>
      <c r="M44" s="946"/>
      <c r="N44" s="947"/>
    </row>
    <row r="45" spans="1:14" s="948" customFormat="1" ht="21.75" customHeight="1">
      <c r="A45" s="942"/>
      <c r="B45" s="942"/>
      <c r="C45" s="575">
        <v>2017</v>
      </c>
      <c r="D45" s="955"/>
      <c r="E45" s="956">
        <f>F45+H45+J45+K45</f>
        <v>11370.5</v>
      </c>
      <c r="F45" s="956">
        <f>F14+F35</f>
        <v>11370.5</v>
      </c>
      <c r="G45" s="957">
        <f aca="true" t="shared" si="4" ref="G45:G48">H45+J45</f>
        <v>0</v>
      </c>
      <c r="H45" s="958">
        <f>H14+H35</f>
        <v>0</v>
      </c>
      <c r="I45" s="9"/>
      <c r="J45" s="958">
        <f>J14+J35</f>
        <v>0</v>
      </c>
      <c r="K45" s="959">
        <f>K14+K35</f>
        <v>0</v>
      </c>
      <c r="L45" s="959">
        <f>L14+L35</f>
        <v>0</v>
      </c>
      <c r="M45" s="946"/>
      <c r="N45" s="947"/>
    </row>
    <row r="46" spans="1:14" s="948" customFormat="1" ht="21.75" customHeight="1">
      <c r="A46" s="942"/>
      <c r="B46" s="942"/>
      <c r="C46" s="578">
        <v>2018</v>
      </c>
      <c r="D46" s="960"/>
      <c r="E46" s="961">
        <f>E18+E36</f>
        <v>14786.972699999998</v>
      </c>
      <c r="F46" s="961">
        <f>F18+F36</f>
        <v>14786.972699999998</v>
      </c>
      <c r="G46" s="962">
        <f t="shared" si="4"/>
        <v>0</v>
      </c>
      <c r="H46" s="963">
        <f>H18+H36</f>
        <v>0</v>
      </c>
      <c r="I46" s="13"/>
      <c r="J46" s="963">
        <f>J18+J36</f>
        <v>0</v>
      </c>
      <c r="K46" s="964">
        <f>K18+K36</f>
        <v>0</v>
      </c>
      <c r="L46" s="964">
        <f>L18+L36</f>
        <v>0</v>
      </c>
      <c r="M46" s="946"/>
      <c r="N46" s="947"/>
    </row>
    <row r="47" spans="1:14" s="948" customFormat="1" ht="21.75" customHeight="1">
      <c r="A47" s="942"/>
      <c r="B47" s="942"/>
      <c r="C47" s="578">
        <v>2019</v>
      </c>
      <c r="D47" s="960"/>
      <c r="E47" s="961">
        <f>E23+E37</f>
        <v>11736</v>
      </c>
      <c r="F47" s="961">
        <f>F23+F37</f>
        <v>11736</v>
      </c>
      <c r="G47" s="962">
        <f t="shared" si="4"/>
        <v>0</v>
      </c>
      <c r="H47" s="963">
        <f>H22+H36</f>
        <v>0</v>
      </c>
      <c r="I47" s="13"/>
      <c r="J47" s="963">
        <f>J23+J37</f>
        <v>0</v>
      </c>
      <c r="K47" s="964">
        <f>K22+K36</f>
        <v>0</v>
      </c>
      <c r="L47" s="964">
        <f>L22+L36</f>
        <v>0</v>
      </c>
      <c r="M47" s="946"/>
      <c r="N47" s="947"/>
    </row>
    <row r="48" spans="1:14" s="948" customFormat="1" ht="21.75" customHeight="1">
      <c r="A48" s="942"/>
      <c r="B48" s="942"/>
      <c r="C48" s="578">
        <v>2020</v>
      </c>
      <c r="D48" s="960"/>
      <c r="E48" s="961">
        <f aca="true" t="shared" si="5" ref="E48:E52">E27+E38</f>
        <v>12043.9</v>
      </c>
      <c r="F48" s="961">
        <f aca="true" t="shared" si="6" ref="F48:F52">F27+F38</f>
        <v>12043.9</v>
      </c>
      <c r="G48" s="962">
        <f t="shared" si="4"/>
        <v>0</v>
      </c>
      <c r="H48" s="963">
        <f>H22+H36</f>
        <v>0</v>
      </c>
      <c r="I48" s="13"/>
      <c r="J48" s="963">
        <f aca="true" t="shared" si="7" ref="J48:J52">J27+J38</f>
        <v>0</v>
      </c>
      <c r="K48" s="963">
        <f>K22+K36</f>
        <v>0</v>
      </c>
      <c r="L48" s="964">
        <f>L22+L36</f>
        <v>0</v>
      </c>
      <c r="M48" s="946"/>
      <c r="N48" s="947"/>
    </row>
    <row r="49" spans="1:14" s="948" customFormat="1" ht="21.75" customHeight="1">
      <c r="A49" s="942"/>
      <c r="B49" s="942"/>
      <c r="C49" s="578">
        <v>2021</v>
      </c>
      <c r="D49" s="960"/>
      <c r="E49" s="961">
        <f t="shared" si="5"/>
        <v>14266.5</v>
      </c>
      <c r="F49" s="961">
        <f t="shared" si="6"/>
        <v>14266.5</v>
      </c>
      <c r="G49" s="962">
        <f aca="true" t="shared" si="8" ref="G49:G52">G28+G39</f>
        <v>0</v>
      </c>
      <c r="H49" s="962">
        <f aca="true" t="shared" si="9" ref="H49:H52">H28+H39</f>
        <v>0</v>
      </c>
      <c r="I49" s="962">
        <f aca="true" t="shared" si="10" ref="I49:I52">I28+I39</f>
        <v>0</v>
      </c>
      <c r="J49" s="962">
        <f t="shared" si="7"/>
        <v>0</v>
      </c>
      <c r="K49" s="962">
        <f aca="true" t="shared" si="11" ref="K49:K52">K28+K39</f>
        <v>0</v>
      </c>
      <c r="L49" s="965">
        <f aca="true" t="shared" si="12" ref="L49:L52">L28+L39</f>
        <v>0</v>
      </c>
      <c r="M49" s="946"/>
      <c r="N49" s="947"/>
    </row>
    <row r="50" spans="1:14" s="948" customFormat="1" ht="21.75" customHeight="1">
      <c r="A50" s="942"/>
      <c r="B50" s="942"/>
      <c r="C50" s="578">
        <v>2022</v>
      </c>
      <c r="D50" s="960"/>
      <c r="E50" s="961">
        <f t="shared" si="5"/>
        <v>13805.4</v>
      </c>
      <c r="F50" s="961">
        <f t="shared" si="6"/>
        <v>13805.4</v>
      </c>
      <c r="G50" s="962">
        <f t="shared" si="8"/>
        <v>0</v>
      </c>
      <c r="H50" s="962">
        <f t="shared" si="9"/>
        <v>0</v>
      </c>
      <c r="I50" s="962">
        <f t="shared" si="10"/>
        <v>0</v>
      </c>
      <c r="J50" s="962">
        <f t="shared" si="7"/>
        <v>0</v>
      </c>
      <c r="K50" s="962">
        <f t="shared" si="11"/>
        <v>0</v>
      </c>
      <c r="L50" s="965">
        <f t="shared" si="12"/>
        <v>0</v>
      </c>
      <c r="M50" s="946"/>
      <c r="N50" s="947"/>
    </row>
    <row r="51" spans="1:14" s="948" customFormat="1" ht="21.75" customHeight="1">
      <c r="A51" s="942"/>
      <c r="B51" s="942"/>
      <c r="C51" s="578">
        <v>2023</v>
      </c>
      <c r="D51" s="960"/>
      <c r="E51" s="961">
        <f t="shared" si="5"/>
        <v>12485.6</v>
      </c>
      <c r="F51" s="961">
        <f t="shared" si="6"/>
        <v>12485.6</v>
      </c>
      <c r="G51" s="962">
        <f t="shared" si="8"/>
        <v>0</v>
      </c>
      <c r="H51" s="962">
        <f t="shared" si="9"/>
        <v>0</v>
      </c>
      <c r="I51" s="962">
        <f t="shared" si="10"/>
        <v>0</v>
      </c>
      <c r="J51" s="962">
        <f t="shared" si="7"/>
        <v>0</v>
      </c>
      <c r="K51" s="962">
        <f t="shared" si="11"/>
        <v>0</v>
      </c>
      <c r="L51" s="965">
        <f t="shared" si="12"/>
        <v>0</v>
      </c>
      <c r="M51" s="946"/>
      <c r="N51" s="947"/>
    </row>
    <row r="52" spans="1:14" s="948" customFormat="1" ht="21.75" customHeight="1">
      <c r="A52" s="942"/>
      <c r="B52" s="942"/>
      <c r="C52" s="581">
        <v>2024</v>
      </c>
      <c r="D52" s="966"/>
      <c r="E52" s="967">
        <f t="shared" si="5"/>
        <v>15125.2</v>
      </c>
      <c r="F52" s="967">
        <f t="shared" si="6"/>
        <v>15125.2</v>
      </c>
      <c r="G52" s="968">
        <f t="shared" si="8"/>
        <v>0</v>
      </c>
      <c r="H52" s="968">
        <f t="shared" si="9"/>
        <v>0</v>
      </c>
      <c r="I52" s="968">
        <f t="shared" si="10"/>
        <v>0</v>
      </c>
      <c r="J52" s="968">
        <f t="shared" si="7"/>
        <v>0</v>
      </c>
      <c r="K52" s="968">
        <f t="shared" si="11"/>
        <v>0</v>
      </c>
      <c r="L52" s="969">
        <f t="shared" si="12"/>
        <v>0</v>
      </c>
      <c r="M52" s="946"/>
      <c r="N52" s="947"/>
    </row>
    <row r="53" spans="1:14" ht="18.75" customHeight="1">
      <c r="A53" s="970"/>
      <c r="B53" s="971"/>
      <c r="C53" s="972"/>
      <c r="D53" s="973"/>
      <c r="E53" s="974"/>
      <c r="F53" s="974"/>
      <c r="G53" s="974"/>
      <c r="H53" s="974"/>
      <c r="I53" s="972"/>
      <c r="J53" s="974"/>
      <c r="K53" s="974"/>
      <c r="L53" s="974"/>
      <c r="M53" s="975"/>
      <c r="N53" s="975"/>
    </row>
    <row r="54" spans="1:13" ht="18.75" customHeight="1">
      <c r="A54" s="970"/>
      <c r="B54" s="972"/>
      <c r="C54" s="972"/>
      <c r="D54" s="973"/>
      <c r="E54" s="974"/>
      <c r="F54" s="974"/>
      <c r="G54" s="974"/>
      <c r="H54" s="974"/>
      <c r="I54" s="974"/>
      <c r="J54" s="974"/>
      <c r="K54" s="974"/>
      <c r="L54" s="974"/>
      <c r="M54" s="975"/>
    </row>
    <row r="55" ht="21" customHeight="1"/>
    <row r="56" spans="1:13" ht="24">
      <c r="A56" s="861"/>
      <c r="B56" s="3"/>
      <c r="C56" s="683"/>
      <c r="D56" s="683"/>
      <c r="E56" s="687"/>
      <c r="F56" s="3"/>
      <c r="G56" s="3"/>
      <c r="H56" s="2"/>
      <c r="I56" s="3"/>
      <c r="J56" s="679"/>
      <c r="K56" s="3"/>
      <c r="L56" s="3"/>
      <c r="M56" s="2"/>
    </row>
    <row r="57" spans="1:13" ht="24">
      <c r="A57" s="861"/>
      <c r="B57" s="3"/>
      <c r="C57" s="683"/>
      <c r="D57" s="683"/>
      <c r="E57" s="687"/>
      <c r="F57" s="3"/>
      <c r="G57" s="3"/>
      <c r="H57" s="2"/>
      <c r="I57" s="3"/>
      <c r="J57" s="3"/>
      <c r="K57" s="3"/>
      <c r="L57" s="3"/>
      <c r="M57" s="2"/>
    </row>
    <row r="58" spans="1:13" ht="13.5" customHeight="1">
      <c r="A58" s="861"/>
      <c r="B58" s="3"/>
      <c r="C58" s="683"/>
      <c r="D58" s="683"/>
      <c r="E58" s="687"/>
      <c r="F58" s="3"/>
      <c r="G58" s="3"/>
      <c r="H58" s="2"/>
      <c r="I58" s="3"/>
      <c r="J58" s="3"/>
      <c r="K58" s="3"/>
      <c r="L58" s="3"/>
      <c r="M58" s="2"/>
    </row>
    <row r="59" spans="1:13" ht="24">
      <c r="A59" s="861"/>
      <c r="B59" s="3"/>
      <c r="C59" s="683"/>
      <c r="D59" s="683"/>
      <c r="E59" s="687"/>
      <c r="F59" s="3"/>
      <c r="G59" s="3"/>
      <c r="H59" s="2"/>
      <c r="I59" s="3"/>
      <c r="J59" s="3"/>
      <c r="K59" s="3"/>
      <c r="L59" s="3"/>
      <c r="M59" s="2"/>
    </row>
    <row r="60" spans="1:13" ht="11.25" customHeight="1">
      <c r="A60" s="861"/>
      <c r="B60" s="3"/>
      <c r="C60" s="683"/>
      <c r="D60" s="683"/>
      <c r="E60" s="687"/>
      <c r="F60" s="3"/>
      <c r="G60" s="3"/>
      <c r="H60" s="2"/>
      <c r="I60" s="3"/>
      <c r="J60" s="3"/>
      <c r="K60" s="3"/>
      <c r="L60" s="3"/>
      <c r="M60" s="2"/>
    </row>
    <row r="61" spans="1:13" ht="24">
      <c r="A61" s="861"/>
      <c r="B61" s="3"/>
      <c r="C61" s="976"/>
      <c r="D61" s="683"/>
      <c r="E61" s="687"/>
      <c r="F61" s="3"/>
      <c r="G61" s="3"/>
      <c r="H61" s="2"/>
      <c r="I61" s="3"/>
      <c r="J61" s="3"/>
      <c r="K61" s="3"/>
      <c r="L61" s="3"/>
      <c r="M61" s="2"/>
    </row>
    <row r="62" spans="1:10" ht="14.25">
      <c r="A62" s="861"/>
      <c r="B62" s="861"/>
      <c r="C62" s="861"/>
      <c r="D62" s="861"/>
      <c r="E62" s="861"/>
      <c r="F62" s="861"/>
      <c r="G62" s="861"/>
      <c r="H62" s="861"/>
      <c r="I62" s="861"/>
      <c r="J62" s="861"/>
    </row>
    <row r="63" spans="1:10" ht="14.25">
      <c r="A63" s="861"/>
      <c r="B63" s="861"/>
      <c r="C63" s="861"/>
      <c r="D63" s="861"/>
      <c r="E63" s="861"/>
      <c r="F63" s="861"/>
      <c r="G63" s="861"/>
      <c r="H63" s="861"/>
      <c r="I63" s="861"/>
      <c r="J63" s="861"/>
    </row>
    <row r="64" spans="1:10" ht="14.25">
      <c r="A64" s="861"/>
      <c r="B64" s="861"/>
      <c r="C64" s="861"/>
      <c r="D64" s="861"/>
      <c r="E64" s="861"/>
      <c r="F64" s="861"/>
      <c r="G64" s="861"/>
      <c r="H64" s="861"/>
      <c r="I64" s="861"/>
      <c r="J64" s="861"/>
    </row>
    <row r="65" spans="1:10" ht="14.25">
      <c r="A65" s="861"/>
      <c r="B65" s="861"/>
      <c r="C65" s="861"/>
      <c r="D65" s="861"/>
      <c r="E65" s="861"/>
      <c r="F65" s="861"/>
      <c r="G65" s="861"/>
      <c r="H65" s="861"/>
      <c r="I65" s="861"/>
      <c r="J65" s="861"/>
    </row>
    <row r="66" ht="14.25">
      <c r="B66" s="861"/>
    </row>
    <row r="69" spans="2:8" ht="14.25">
      <c r="B69" s="860"/>
      <c r="C69" s="861"/>
      <c r="D69" s="861"/>
      <c r="E69" s="861"/>
      <c r="F69" s="861"/>
      <c r="G69" s="861"/>
      <c r="H69" s="860"/>
    </row>
    <row r="70" spans="2:8" ht="14.25">
      <c r="B70" s="860"/>
      <c r="C70" s="861"/>
      <c r="D70" s="861"/>
      <c r="E70" s="861"/>
      <c r="F70" s="861"/>
      <c r="G70" s="861"/>
      <c r="H70" s="860"/>
    </row>
    <row r="71" spans="2:8" ht="14.25">
      <c r="B71" s="860"/>
      <c r="C71" s="861"/>
      <c r="D71" s="861"/>
      <c r="E71" s="861"/>
      <c r="F71" s="861"/>
      <c r="G71" s="861"/>
      <c r="H71" s="860"/>
    </row>
    <row r="72" spans="2:8" ht="14.25">
      <c r="B72" s="860"/>
      <c r="C72" s="861"/>
      <c r="D72" s="861"/>
      <c r="E72" s="861"/>
      <c r="F72" s="861"/>
      <c r="G72" s="861"/>
      <c r="H72" s="860"/>
    </row>
    <row r="73" spans="2:8" ht="14.25">
      <c r="B73" s="860"/>
      <c r="C73" s="861"/>
      <c r="D73" s="861"/>
      <c r="E73" s="861"/>
      <c r="F73" s="861"/>
      <c r="G73" s="861"/>
      <c r="H73" s="860"/>
    </row>
    <row r="74" spans="2:8" ht="14.25">
      <c r="B74" s="860"/>
      <c r="C74" s="861"/>
      <c r="D74" s="861"/>
      <c r="E74" s="861"/>
      <c r="F74" s="861"/>
      <c r="G74" s="861"/>
      <c r="H74" s="860"/>
    </row>
    <row r="75" spans="2:8" ht="14.25">
      <c r="B75" s="860"/>
      <c r="C75" s="861"/>
      <c r="D75" s="861"/>
      <c r="E75" s="861"/>
      <c r="F75" s="861"/>
      <c r="G75" s="861"/>
      <c r="H75" s="860"/>
    </row>
    <row r="76" spans="2:8" ht="14.25">
      <c r="B76" s="860"/>
      <c r="C76" s="861"/>
      <c r="D76" s="861"/>
      <c r="E76" s="861"/>
      <c r="F76" s="861"/>
      <c r="G76" s="861"/>
      <c r="H76" s="860"/>
    </row>
    <row r="77" spans="2:8" ht="14.25">
      <c r="B77" s="860"/>
      <c r="C77" s="861"/>
      <c r="D77" s="861"/>
      <c r="E77" s="861"/>
      <c r="F77" s="861"/>
      <c r="G77" s="861"/>
      <c r="H77" s="861"/>
    </row>
    <row r="78" spans="2:8" ht="14.25">
      <c r="B78" s="860"/>
      <c r="C78" s="861"/>
      <c r="D78" s="861"/>
      <c r="E78" s="861"/>
      <c r="F78" s="861"/>
      <c r="G78" s="861"/>
      <c r="H78" s="861"/>
    </row>
    <row r="79" spans="2:8" ht="14.25">
      <c r="B79" s="860"/>
      <c r="C79" s="861"/>
      <c r="D79" s="861"/>
      <c r="E79" s="861"/>
      <c r="F79" s="861"/>
      <c r="G79" s="861"/>
      <c r="H79" s="861"/>
    </row>
    <row r="80" spans="2:8" ht="14.25">
      <c r="B80" s="860"/>
      <c r="C80" s="861"/>
      <c r="D80" s="861"/>
      <c r="E80" s="861"/>
      <c r="F80" s="861"/>
      <c r="G80" s="861"/>
      <c r="H80" s="861"/>
    </row>
    <row r="81" spans="2:8" ht="14.25">
      <c r="B81" s="860"/>
      <c r="C81" s="861"/>
      <c r="D81" s="861"/>
      <c r="E81" s="861"/>
      <c r="F81" s="861"/>
      <c r="G81" s="861"/>
      <c r="H81" s="861"/>
    </row>
    <row r="82" spans="2:8" ht="14.25">
      <c r="B82" s="860"/>
      <c r="C82" s="861"/>
      <c r="D82" s="861"/>
      <c r="E82" s="861"/>
      <c r="F82" s="861"/>
      <c r="G82" s="861"/>
      <c r="H82" s="861"/>
    </row>
  </sheetData>
  <sheetProtection selectLockedCells="1" selectUnlockedCells="1"/>
  <mergeCells count="66">
    <mergeCell ref="B2:N2"/>
    <mergeCell ref="K3:N3"/>
    <mergeCell ref="B4:N4"/>
    <mergeCell ref="A5:A9"/>
    <mergeCell ref="B5:B9"/>
    <mergeCell ref="C5:C9"/>
    <mergeCell ref="D5:E9"/>
    <mergeCell ref="F5:K5"/>
    <mergeCell ref="L5:L9"/>
    <mergeCell ref="M5:M9"/>
    <mergeCell ref="N5:N9"/>
    <mergeCell ref="F6:F9"/>
    <mergeCell ref="G6:K6"/>
    <mergeCell ref="G7:J7"/>
    <mergeCell ref="K7:K9"/>
    <mergeCell ref="G8:G9"/>
    <mergeCell ref="H8:J8"/>
    <mergeCell ref="D10:E10"/>
    <mergeCell ref="I10:J10"/>
    <mergeCell ref="A11:N11"/>
    <mergeCell ref="A12:N12"/>
    <mergeCell ref="A13:N13"/>
    <mergeCell ref="A14:A31"/>
    <mergeCell ref="B14:B31"/>
    <mergeCell ref="C14:D17"/>
    <mergeCell ref="E14:E17"/>
    <mergeCell ref="F14:F15"/>
    <mergeCell ref="G14:G15"/>
    <mergeCell ref="H14:H15"/>
    <mergeCell ref="I14:I15"/>
    <mergeCell ref="J14:J15"/>
    <mergeCell ref="K14:K15"/>
    <mergeCell ref="L14:L15"/>
    <mergeCell ref="M14:M31"/>
    <mergeCell ref="N14:N31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C23:C24"/>
    <mergeCell ref="E23:E24"/>
    <mergeCell ref="F23:F24"/>
    <mergeCell ref="G23:G24"/>
    <mergeCell ref="H23:H24"/>
    <mergeCell ref="I23:I24"/>
    <mergeCell ref="J23:J24"/>
    <mergeCell ref="K23:K24"/>
    <mergeCell ref="L23:L24"/>
    <mergeCell ref="E25:E26"/>
    <mergeCell ref="J25:J26"/>
    <mergeCell ref="A32:N32"/>
    <mergeCell ref="A33:N33"/>
    <mergeCell ref="A34:N34"/>
    <mergeCell ref="A35:A42"/>
    <mergeCell ref="B35:B42"/>
    <mergeCell ref="M35:M42"/>
    <mergeCell ref="N35:N42"/>
    <mergeCell ref="A43:B52"/>
    <mergeCell ref="M43:M52"/>
    <mergeCell ref="N43:N52"/>
    <mergeCell ref="G54:J54"/>
  </mergeCells>
  <printOptions/>
  <pageMargins left="0.7875" right="0.7875" top="1.025" bottom="1.025" header="0.7875" footer="0.7875"/>
  <pageSetup horizontalDpi="300" verticalDpi="300" orientation="portrait" paperSize="9" scale="3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Ю. Ретивова</dc:creator>
  <cp:keywords/>
  <dc:description/>
  <cp:lastModifiedBy/>
  <cp:lastPrinted>2021-12-29T08:54:46Z</cp:lastPrinted>
  <dcterms:created xsi:type="dcterms:W3CDTF">2021-06-08T06:24:15Z</dcterms:created>
  <dcterms:modified xsi:type="dcterms:W3CDTF">2022-02-01T11:38:25Z</dcterms:modified>
  <cp:category/>
  <cp:version/>
  <cp:contentType/>
  <cp:contentStatus/>
  <cp:revision>2</cp:revision>
</cp:coreProperties>
</file>